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olda_k\Desktop\"/>
    </mc:Choice>
  </mc:AlternateContent>
  <bookViews>
    <workbookView xWindow="0" yWindow="0" windowWidth="20490" windowHeight="7755"/>
  </bookViews>
  <sheets>
    <sheet name="МХЕ до 1MW" sheetId="1" r:id="rId1"/>
    <sheet name="МХЕ 1-10 MW" sheetId="2" r:id="rId2"/>
    <sheet name="СЕ до 250kW" sheetId="3" r:id="rId3"/>
    <sheet name="СЕ преко 250 kW" sheetId="5" r:id="rId4"/>
    <sheet name="Биомаса биогас" sheetId="4" r:id="rId5"/>
    <sheet name="когенерација" sheetId="7" r:id="rId6"/>
    <sheet name="Укупно" sheetId="8" r:id="rId7"/>
  </sheets>
  <externalReferences>
    <externalReference r:id="rId8"/>
    <externalReference r:id="rId9"/>
  </externalReferences>
  <definedNames>
    <definedName name="_xlnm.Print_Area" localSheetId="1">'МХЕ 1-10 MW'!$A$2:$K$47</definedName>
    <definedName name="_xlnm.Print_Area" localSheetId="0">'МХЕ до 1MW'!$A$1:$K$64</definedName>
    <definedName name="_xlnm.Print_Area" localSheetId="2">'СЕ до 250kW'!$B$1:$M$80</definedName>
  </definedNames>
  <calcPr calcId="152511"/>
</workbook>
</file>

<file path=xl/calcChain.xml><?xml version="1.0" encoding="utf-8"?>
<calcChain xmlns="http://schemas.openxmlformats.org/spreadsheetml/2006/main">
  <c r="G51" i="1" l="1"/>
  <c r="D16" i="8"/>
  <c r="C71" i="3"/>
  <c r="A37" i="2"/>
  <c r="F43" i="2"/>
  <c r="F34" i="2"/>
  <c r="E34" i="2"/>
  <c r="B51" i="1"/>
  <c r="B54" i="1"/>
  <c r="F51" i="1"/>
  <c r="F62" i="1"/>
  <c r="E61" i="1"/>
  <c r="F60" i="1"/>
  <c r="E60" i="1"/>
  <c r="E59" i="1"/>
  <c r="F27" i="5"/>
  <c r="F28" i="2" l="1"/>
  <c r="F14" i="2"/>
  <c r="F9" i="2"/>
  <c r="F5" i="2"/>
  <c r="D45" i="2"/>
  <c r="E43" i="2" l="1"/>
  <c r="D43" i="2"/>
  <c r="E19" i="2"/>
  <c r="I11" i="8" l="1"/>
  <c r="B19" i="5"/>
  <c r="G11" i="8" s="1"/>
  <c r="C69" i="3"/>
  <c r="G10" i="8" s="1"/>
  <c r="A34" i="2"/>
  <c r="G8" i="8" s="1"/>
  <c r="A19" i="2"/>
  <c r="B17" i="1" l="1"/>
  <c r="G17" i="1"/>
  <c r="F59" i="1" s="1"/>
  <c r="G59" i="1" s="1"/>
  <c r="H59" i="1" s="1"/>
  <c r="F17" i="1"/>
  <c r="G48" i="1"/>
  <c r="G27" i="5"/>
  <c r="H8" i="8" l="1"/>
  <c r="H47" i="3" l="1"/>
  <c r="E8" i="8" l="1"/>
  <c r="D8" i="8"/>
  <c r="J8" i="8" s="1"/>
  <c r="J15" i="8"/>
  <c r="I15" i="8"/>
  <c r="H15" i="8"/>
  <c r="G15" i="8"/>
  <c r="J14" i="8"/>
  <c r="F14" i="8"/>
  <c r="L14" i="8" s="1"/>
  <c r="E14" i="8"/>
  <c r="K14" i="8" s="1"/>
  <c r="J13" i="8"/>
  <c r="F13" i="8"/>
  <c r="L13" i="8" s="1"/>
  <c r="E13" i="8"/>
  <c r="K13" i="8" s="1"/>
  <c r="I12" i="8"/>
  <c r="H12" i="8"/>
  <c r="G12" i="8"/>
  <c r="D12" i="8"/>
  <c r="J11" i="8"/>
  <c r="J10" i="8"/>
  <c r="I9" i="8"/>
  <c r="H9" i="8"/>
  <c r="D9" i="8"/>
  <c r="H16" i="8" l="1"/>
  <c r="J12" i="8"/>
  <c r="I16" i="8"/>
  <c r="E15" i="8"/>
  <c r="K15" i="8" s="1"/>
  <c r="K8" i="8"/>
  <c r="F15" i="8"/>
  <c r="L15" i="8" s="1"/>
  <c r="F9" i="8" l="1"/>
  <c r="L9" i="8" l="1"/>
  <c r="J67" i="3" l="1"/>
  <c r="I67" i="3"/>
  <c r="H67" i="3"/>
  <c r="G67" i="3"/>
  <c r="F67" i="3"/>
  <c r="I29" i="7"/>
  <c r="E30" i="7"/>
  <c r="E29" i="7"/>
  <c r="E28" i="7"/>
  <c r="E27" i="7" s="1"/>
  <c r="F25" i="7"/>
  <c r="F30" i="7" s="1"/>
  <c r="G25" i="7"/>
  <c r="G30" i="7" s="1"/>
  <c r="H25" i="7"/>
  <c r="H30" i="7" s="1"/>
  <c r="I25" i="7"/>
  <c r="I30" i="7" s="1"/>
  <c r="E25" i="7"/>
  <c r="F24" i="7"/>
  <c r="F29" i="7" s="1"/>
  <c r="G24" i="7"/>
  <c r="G29" i="7" s="1"/>
  <c r="H24" i="7"/>
  <c r="H29" i="7" s="1"/>
  <c r="I24" i="7"/>
  <c r="E24" i="7"/>
  <c r="E23" i="7"/>
  <c r="E22" i="7"/>
  <c r="F17" i="7"/>
  <c r="F16" i="7" s="1"/>
  <c r="G17" i="7"/>
  <c r="G16" i="7" s="1"/>
  <c r="E17" i="7"/>
  <c r="E16" i="7" s="1"/>
  <c r="E12" i="7"/>
  <c r="E11" i="7" s="1"/>
  <c r="F7" i="7"/>
  <c r="F6" i="7" s="1"/>
  <c r="G7" i="7"/>
  <c r="G6" i="7" s="1"/>
  <c r="H7" i="7"/>
  <c r="H6" i="7" s="1"/>
  <c r="I7" i="7"/>
  <c r="I6" i="7" s="1"/>
  <c r="E7" i="7"/>
  <c r="E6" i="7" s="1"/>
  <c r="H18" i="7"/>
  <c r="H17" i="7" s="1"/>
  <c r="H16" i="7" s="1"/>
  <c r="F13" i="7"/>
  <c r="F12" i="7" s="1"/>
  <c r="F11" i="7" s="1"/>
  <c r="H10" i="8" l="1"/>
  <c r="G76" i="3"/>
  <c r="G77" i="3" s="1"/>
  <c r="G78" i="3" s="1"/>
  <c r="I10" i="8"/>
  <c r="F23" i="7"/>
  <c r="G13" i="7"/>
  <c r="F21" i="7"/>
  <c r="F26" i="7" s="1"/>
  <c r="E21" i="7"/>
  <c r="E26" i="7" s="1"/>
  <c r="I18" i="7"/>
  <c r="I17" i="7" s="1"/>
  <c r="I16" i="7" s="1"/>
  <c r="F22" i="7" l="1"/>
  <c r="F28" i="7"/>
  <c r="F27" i="7" s="1"/>
  <c r="H13" i="7"/>
  <c r="G23" i="7"/>
  <c r="G12" i="7"/>
  <c r="G11" i="7" s="1"/>
  <c r="G22" i="7" l="1"/>
  <c r="G28" i="7"/>
  <c r="G27" i="7" s="1"/>
  <c r="I13" i="7"/>
  <c r="I23" i="7" s="1"/>
  <c r="H23" i="7"/>
  <c r="H12" i="7"/>
  <c r="H11" i="7" s="1"/>
  <c r="H21" i="7" s="1"/>
  <c r="H26" i="7" s="1"/>
  <c r="G21" i="7"/>
  <c r="G26" i="7" s="1"/>
  <c r="I22" i="7" l="1"/>
  <c r="I28" i="7"/>
  <c r="I27" i="7" s="1"/>
  <c r="H22" i="7"/>
  <c r="H28" i="7"/>
  <c r="H27" i="7" s="1"/>
  <c r="I12" i="7"/>
  <c r="I11" i="7" s="1"/>
  <c r="I21" i="7" s="1"/>
  <c r="I26" i="7" s="1"/>
  <c r="E19" i="5" l="1"/>
  <c r="F19" i="5"/>
  <c r="L11" i="8" s="1"/>
  <c r="H11" i="8" l="1"/>
  <c r="K11" i="8" s="1"/>
  <c r="H27" i="5"/>
  <c r="I27" i="5" s="1"/>
  <c r="H10" i="4" l="1"/>
  <c r="E10" i="4"/>
  <c r="D10" i="4"/>
  <c r="G9" i="4"/>
  <c r="G10" i="4" s="1"/>
  <c r="C32" i="4" l="1"/>
  <c r="E32" i="4" s="1"/>
  <c r="F32" i="4" s="1"/>
  <c r="D32" i="4" l="1"/>
  <c r="D40" i="4" s="1"/>
  <c r="D52" i="4" s="1"/>
  <c r="C40" i="4"/>
  <c r="C52" i="4" s="1"/>
  <c r="G32" i="4"/>
  <c r="F19" i="2" l="1"/>
  <c r="E42" i="2" s="1"/>
  <c r="E20" i="4" l="1"/>
  <c r="D20" i="4"/>
  <c r="I20" i="4"/>
  <c r="H20" i="4"/>
  <c r="D41" i="4" l="1"/>
  <c r="E41" i="4"/>
  <c r="F41" i="4"/>
  <c r="G41" i="4"/>
  <c r="D42" i="4"/>
  <c r="D50" i="4" s="1"/>
  <c r="E42" i="4"/>
  <c r="E50" i="4" s="1"/>
  <c r="F42" i="4"/>
  <c r="F50" i="4" s="1"/>
  <c r="G42" i="4"/>
  <c r="G50" i="4" s="1"/>
  <c r="C41" i="4"/>
  <c r="C42" i="4"/>
  <c r="C50" i="4" s="1"/>
  <c r="I28" i="5"/>
  <c r="I30" i="5" s="1"/>
  <c r="H28" i="5"/>
  <c r="G28" i="5"/>
  <c r="G30" i="5" s="1"/>
  <c r="F28" i="5"/>
  <c r="I8" i="8" l="1"/>
  <c r="F49" i="4"/>
  <c r="F53" i="4"/>
  <c r="E49" i="4"/>
  <c r="E53" i="4"/>
  <c r="C49" i="4"/>
  <c r="D49" i="4"/>
  <c r="G49" i="4"/>
  <c r="G53" i="4"/>
  <c r="G43" i="2"/>
  <c r="F30" i="5"/>
  <c r="H30" i="5"/>
  <c r="F68" i="3"/>
  <c r="F36" i="1"/>
  <c r="G27" i="1"/>
  <c r="F27" i="1"/>
  <c r="F20" i="4" l="1"/>
  <c r="I17" i="4"/>
  <c r="G17" i="4"/>
  <c r="G46" i="4"/>
  <c r="F46" i="4"/>
  <c r="E46" i="4"/>
  <c r="D46" i="4"/>
  <c r="D54" i="4" s="1"/>
  <c r="C46" i="4"/>
  <c r="C54" i="4" s="1"/>
  <c r="F43" i="4" l="1"/>
  <c r="F54" i="4"/>
  <c r="E43" i="4"/>
  <c r="E54" i="4"/>
  <c r="G43" i="4"/>
  <c r="G54" i="4"/>
  <c r="D31" i="4" l="1"/>
  <c r="E31" i="4"/>
  <c r="F31" i="4"/>
  <c r="G31" i="4"/>
  <c r="C31" i="4"/>
  <c r="C45" i="4" l="1"/>
  <c r="C53" i="4" s="1"/>
  <c r="D45" i="4"/>
  <c r="D53" i="4" s="1"/>
  <c r="D43" i="4" l="1"/>
  <c r="C43" i="4"/>
  <c r="I6" i="4"/>
  <c r="G6" i="4"/>
  <c r="G19" i="4"/>
  <c r="G20" i="4" s="1"/>
  <c r="F36" i="4" l="1"/>
  <c r="E40" i="4"/>
  <c r="C48" i="4"/>
  <c r="E52" i="4" l="1"/>
  <c r="E48" i="4"/>
  <c r="G36" i="4"/>
  <c r="F40" i="4"/>
  <c r="C51" i="4"/>
  <c r="C35" i="4"/>
  <c r="C39" i="4" s="1"/>
  <c r="C47" i="4" s="1"/>
  <c r="G28" i="3"/>
  <c r="J25" i="3"/>
  <c r="F25" i="3"/>
  <c r="F24" i="3"/>
  <c r="J23" i="3"/>
  <c r="F23" i="3"/>
  <c r="J22" i="3"/>
  <c r="I9" i="3"/>
  <c r="I47" i="3" s="1"/>
  <c r="G8" i="3"/>
  <c r="G47" i="3" s="1"/>
  <c r="F10" i="3"/>
  <c r="G40" i="1"/>
  <c r="F47" i="3" l="1"/>
  <c r="H7" i="8"/>
  <c r="I7" i="8"/>
  <c r="E10" i="8"/>
  <c r="F48" i="3"/>
  <c r="J47" i="3"/>
  <c r="F10" i="8" s="1"/>
  <c r="F48" i="4"/>
  <c r="F52" i="4"/>
  <c r="D35" i="4"/>
  <c r="D39" i="4" s="1"/>
  <c r="D47" i="4" s="1"/>
  <c r="D51" i="4"/>
  <c r="D48" i="4"/>
  <c r="I8" i="4"/>
  <c r="I10" i="4" s="1"/>
  <c r="F8" i="4"/>
  <c r="F10" i="4" s="1"/>
  <c r="G7" i="8" l="1"/>
  <c r="G9" i="8" s="1"/>
  <c r="F12" i="8"/>
  <c r="L10" i="8"/>
  <c r="E12" i="8"/>
  <c r="K10" i="8"/>
  <c r="H60" i="1"/>
  <c r="G60" i="1"/>
  <c r="F51" i="4"/>
  <c r="E51" i="4"/>
  <c r="E35" i="4"/>
  <c r="E39" i="4" s="1"/>
  <c r="E47" i="4" s="1"/>
  <c r="F35" i="4"/>
  <c r="F39" i="4" s="1"/>
  <c r="F47" i="4" s="1"/>
  <c r="G11" i="1"/>
  <c r="G9" i="1"/>
  <c r="G7" i="1"/>
  <c r="F7" i="1"/>
  <c r="F7" i="8" l="1"/>
  <c r="L7" i="8" s="1"/>
  <c r="B28" i="1"/>
  <c r="E7" i="8"/>
  <c r="G16" i="8"/>
  <c r="J16" i="8" s="1"/>
  <c r="J9" i="8"/>
  <c r="K12" i="8"/>
  <c r="L12" i="8"/>
  <c r="F16" i="8"/>
  <c r="L16" i="8" s="1"/>
  <c r="G40" i="4"/>
  <c r="G35" i="4"/>
  <c r="G39" i="4" s="1"/>
  <c r="G47" i="4" s="1"/>
  <c r="G42" i="2" l="1"/>
  <c r="G44" i="2" s="1"/>
  <c r="G46" i="2" s="1"/>
  <c r="F8" i="8"/>
  <c r="L8" i="8" s="1"/>
  <c r="E44" i="2"/>
  <c r="E46" i="2" s="1"/>
  <c r="F42" i="2"/>
  <c r="F44" i="2" s="1"/>
  <c r="F46" i="2" s="1"/>
  <c r="D42" i="2"/>
  <c r="D44" i="2" s="1"/>
  <c r="F61" i="1"/>
  <c r="E62" i="1"/>
  <c r="K7" i="8"/>
  <c r="E9" i="8"/>
  <c r="D7" i="8"/>
  <c r="J7" i="8" s="1"/>
  <c r="G48" i="4"/>
  <c r="G52" i="4"/>
  <c r="G51" i="4" s="1"/>
  <c r="D46" i="2" l="1"/>
  <c r="K9" i="8"/>
  <c r="E16" i="8"/>
  <c r="K16" i="8" s="1"/>
  <c r="H61" i="1" l="1"/>
  <c r="H62" i="1" s="1"/>
  <c r="G61" i="1"/>
  <c r="G62" i="1" s="1"/>
</calcChain>
</file>

<file path=xl/sharedStrings.xml><?xml version="1.0" encoding="utf-8"?>
<sst xmlns="http://schemas.openxmlformats.org/spreadsheetml/2006/main" count="1156" uniqueCount="592">
  <si>
    <t>Назив производног постројења</t>
  </si>
  <si>
    <t>Локација производног постројења</t>
  </si>
  <si>
    <t>Инстал. снага (МW)</t>
  </si>
  <si>
    <t>Планирана нето годишња производња 
(GWh)</t>
  </si>
  <si>
    <t xml:space="preserve">Рјешење Регулаторне комисије </t>
  </si>
  <si>
    <t>Напонски ниво на мјесту прикључења</t>
  </si>
  <si>
    <t>"Мега електрик" а.д. Бања Лука</t>
  </si>
  <si>
    <t>МХЕ Жираја</t>
  </si>
  <si>
    <t>Водоток ријеке Жираје, Бијело Бучје, општина Теслић</t>
  </si>
  <si>
    <t>10 kV</t>
  </si>
  <si>
    <t>МХЕ Велика
Јасеница</t>
  </si>
  <si>
    <t>Водоток Велике Јасенице</t>
  </si>
  <si>
    <t>"Отеша" мале електране д.о.о. за производњу и дистрибуцију електричне енергије
Фоча</t>
  </si>
  <si>
    <t>МХЕ Отеша Б-О-2</t>
  </si>
  <si>
    <t>Водоток ријеке Отеше
Миљевина, општина Фоча</t>
  </si>
  <si>
    <t>01-273-5/14/Р-85-163</t>
  </si>
  <si>
    <t>20 kV</t>
  </si>
  <si>
    <t>"E-промет" д.о.о за производњу електричне енергије
Котор Варош</t>
  </si>
  <si>
    <t>МХЕ Грабовичка ријека</t>
  </si>
  <si>
    <t>Водоток Грабовичке ријеке, Грабовица, општина Котор Варош</t>
  </si>
  <si>
    <t>01-315-5/14/Р-87-202</t>
  </si>
  <si>
    <t>МХЕ Жежеља</t>
  </si>
  <si>
    <t>Водоток ријеке Жежеље, Блатница, општина Теслић</t>
  </si>
  <si>
    <t>Назив произвођача
 Обавезан откуп за стара постројења</t>
  </si>
  <si>
    <t xml:space="preserve">
Датум закључења 
предуговора / са ОСП 
</t>
  </si>
  <si>
    <t>Период трајања ПП</t>
  </si>
  <si>
    <t>Лаловић Чедомир</t>
  </si>
  <si>
    <t>МХЕ Штрпци</t>
  </si>
  <si>
    <t>Индустријски водовод Голеш, Доња Ријека, општина Рудо</t>
  </si>
  <si>
    <t>01-219-5/13/Р-62-67</t>
  </si>
  <si>
    <t>5 година 
(5.5.2013.-5.5.2018.)</t>
  </si>
  <si>
    <t xml:space="preserve">Назив произвођача
ПРЕЛИМИНАРНО ПРАВО НА ПОДСТИЦАЈ </t>
  </si>
  <si>
    <t>Период трајања ППП</t>
  </si>
  <si>
    <t xml:space="preserve">МХЕ "Пакленица" </t>
  </si>
  <si>
    <t>Водоток ријеке Пакленице</t>
  </si>
  <si>
    <t>„ETA Energy“ д.о.о. Зворник</t>
  </si>
  <si>
    <t>МХЕ Испод Кушлата</t>
  </si>
  <si>
    <t xml:space="preserve">Водоток ријеке
Дрињаче </t>
  </si>
  <si>
    <t>35 kV</t>
  </si>
  <si>
    <t>2016.</t>
  </si>
  <si>
    <t>2017.</t>
  </si>
  <si>
    <t>2018.</t>
  </si>
  <si>
    <t>2019.</t>
  </si>
  <si>
    <t>2020.</t>
  </si>
  <si>
    <t>Инстал. снага (MW)</t>
  </si>
  <si>
    <t xml:space="preserve">"Бобар-Таубингер електрик" д.о.о. Брод на Дрини, Фоча </t>
  </si>
  <si>
    <t>Мала хидроелектрана Бистрица Б-5а</t>
  </si>
  <si>
    <t>Водоток  Бистрице, Добро Поље, општина Калиновик</t>
  </si>
  <si>
    <t>Друштво са ограниченом одговорношћу "Елинг мале хидроелектране" Теслић</t>
  </si>
  <si>
    <t>Мала хидроелектрана Дивич</t>
  </si>
  <si>
    <t>Водоток Врбање, Крушево Брдо, општина Котор Варош</t>
  </si>
  <si>
    <t>01-115-13/12</t>
  </si>
  <si>
    <t xml:space="preserve"> "ЕРС" мале хидроелектране д.о.о. за производњу и дистрибуцију електричне енергије Бања Лука</t>
  </si>
  <si>
    <t>Мале хидроелектране Сућеска Р-С-1 и Р-С-2</t>
  </si>
  <si>
    <t>Водоток Сућеске, Стргачина, општина Рудо</t>
  </si>
  <si>
    <t>01-357-6/12</t>
  </si>
  <si>
    <t>„Елинг мале хидроелектране“ д.о.о. Теслић</t>
  </si>
  <si>
    <t>МХЕ Иломска</t>
  </si>
  <si>
    <t>Водоток Иломске, општина Кнежево</t>
  </si>
  <si>
    <t>"ЕХЕ" друштво за производњу, развој и трговину 
д.о.о. Бања Лука</t>
  </si>
  <si>
    <t>МХЕ Новаковићи</t>
  </si>
  <si>
    <t>Водоток Угра, Новаковићи, општина Кнежево</t>
  </si>
  <si>
    <t>01-59-8/13/Р-57-16</t>
  </si>
  <si>
    <t>"Хидроинвест" д.о.о. Рогатица</t>
  </si>
  <si>
    <t>МХЕ Устипрача</t>
  </si>
  <si>
    <t>Водоток Праче, општине Рогатица и Н. Горажде</t>
  </si>
  <si>
    <t>110 kV</t>
  </si>
  <si>
    <t>Планирани почетак рада</t>
  </si>
  <si>
    <t>МХЕ Запеће</t>
  </si>
  <si>
    <t>Водоток ријеке Угар, Новаковићи, општина Кнежево</t>
  </si>
  <si>
    <t>Водоток ријеке Говзе,
општина Фоча</t>
  </si>
  <si>
    <t>Водоток ријеке Праче, општина Рогатица</t>
  </si>
  <si>
    <t>36 kV</t>
  </si>
  <si>
    <t>Л.С.Б. електране д.о.о. Бања Лука</t>
  </si>
  <si>
    <t>МХЕ Медна</t>
  </si>
  <si>
    <t>Водоток ријеке Сане, 
Доњи Врбљани</t>
  </si>
  <si>
    <t>април 2017.</t>
  </si>
  <si>
    <t>"Страјко" д.о.о. Требиње</t>
  </si>
  <si>
    <t>МХЕ "До"</t>
  </si>
  <si>
    <t>Водоток Брегаве, општина Берковићи</t>
  </si>
  <si>
    <t>МХЕ Дуб</t>
  </si>
  <si>
    <t xml:space="preserve">Водоток Праче, општине Рогатица </t>
  </si>
  <si>
    <t>Бр.</t>
  </si>
  <si>
    <t>Назив произвођача</t>
  </si>
  <si>
    <t>Датум издавања рјешења РЕРС-а о утврђивању права на подстицај</t>
  </si>
  <si>
    <t>Протоколни
број рјешења РЕРС-а о
утврђивању права
на подстицање</t>
  </si>
  <si>
    <t>“FRATELLO TRADE“ а.д. Бања Лука</t>
  </si>
  <si>
    <t>Фратело 1</t>
  </si>
  <si>
    <t>30.01.2014.</t>
  </si>
  <si>
    <t>01-447-13/13/Р-77-26</t>
  </si>
  <si>
    <t>01.03.2014.</t>
  </si>
  <si>
    <t>"Ауто ин" д.о.о. Прњавор</t>
  </si>
  <si>
    <t>Прњавор 1</t>
  </si>
  <si>
    <t>01-457-8/13/Р-77-17</t>
  </si>
  <si>
    <t>“Titanium power“ д.о.о. 
Козарска Дубица</t>
  </si>
  <si>
    <t>Солар 1</t>
  </si>
  <si>
    <t>01-564-5/Р/77-18</t>
  </si>
  <si>
    <t>ФЕ "Рафинерија уља Модрича"</t>
  </si>
  <si>
    <t>01-634-7/13/Р-77-27</t>
  </si>
  <si>
    <t>"Turn Key Project" д.о.о. 
Горње Црњелово, Бијељина</t>
  </si>
  <si>
    <t>"Црњелово"</t>
  </si>
  <si>
    <t>01-58-15/14/Р-81-76</t>
  </si>
  <si>
    <t>16.04.2014.</t>
  </si>
  <si>
    <t>Висока школа "Banja Luka College" Бања Лука</t>
  </si>
  <si>
    <t>10.04.2014.</t>
  </si>
  <si>
    <t>01-140-10/14/Р-82-99</t>
  </si>
  <si>
    <t>01-158-8/14/Р-82-102</t>
  </si>
  <si>
    <t>“Нестро петрол“ а.д. Бања Лука</t>
  </si>
  <si>
    <t>МСЕ "БС Борик"</t>
  </si>
  <si>
    <t>23.04.2014.</t>
  </si>
  <si>
    <t>01-196-10/14/Р-83-118</t>
  </si>
  <si>
    <t>28.04.2014.</t>
  </si>
  <si>
    <t>"САНТИНГ" д.о.о.
Пале</t>
  </si>
  <si>
    <t>Сантинг 1</t>
  </si>
  <si>
    <t>01-214-5/14/Р-83-119</t>
  </si>
  <si>
    <t>Сантинг 2</t>
  </si>
  <si>
    <t>01-215-3/14/Р-83-120</t>
  </si>
  <si>
    <t>Солар 2</t>
  </si>
  <si>
    <t>10.09.2014.</t>
  </si>
  <si>
    <t>01-388-5/14/Р/-90-248</t>
  </si>
  <si>
    <t>Солар 3</t>
  </si>
  <si>
    <t>01-389-3/14/Р/-90-250</t>
  </si>
  <si>
    <t>"Тесла" д.о.о. Модрича</t>
  </si>
  <si>
    <t>МСЕ Тесла 1</t>
  </si>
  <si>
    <t>26.12.2014.</t>
  </si>
  <si>
    <t>01-518-9/14/Р-99-337</t>
  </si>
  <si>
    <t>МСЕ Тесла 2</t>
  </si>
  <si>
    <t>01-519-3/14/Р-99-338</t>
  </si>
  <si>
    <t>"Мадра" д.о.о. Челинац</t>
  </si>
  <si>
    <t>МСЕ Мадра 1</t>
  </si>
  <si>
    <t>01-516-8/14/Р-99-339</t>
  </si>
  <si>
    <t>МСЕ Мадра 2</t>
  </si>
  <si>
    <t>01-517-5/14/Р-99-340</t>
  </si>
  <si>
    <t>Самостални привредник "Соларна енергија - Мартић" Дервента</t>
  </si>
  <si>
    <t>Соларна електрна "Мартић"</t>
  </si>
  <si>
    <t>29. јануар 2015.</t>
  </si>
  <si>
    <t>01-505-19/14/Р-100-6</t>
  </si>
  <si>
    <t>"МП Фарм" д.о.о. Пале</t>
  </si>
  <si>
    <t>МСЕ Подграб 1</t>
  </si>
  <si>
    <t>01-26-5/15/Р-100-5</t>
  </si>
  <si>
    <t>01.04.2015.</t>
  </si>
  <si>
    <t>МСЕ Новаковић</t>
  </si>
  <si>
    <t>01-96-8/15/Р-102-32</t>
  </si>
  <si>
    <t>Силвана Вол</t>
  </si>
  <si>
    <t>МСЕ "Woll"</t>
  </si>
  <si>
    <t>01-588-7/14/Р-103-46</t>
  </si>
  <si>
    <t>"VERANO MOTORS" д.о.о. Бања Лука</t>
  </si>
  <si>
    <t>МСЕ Верано</t>
  </si>
  <si>
    <t>24. март 2015</t>
  </si>
  <si>
    <t>01-154-5/15/Р-104-56</t>
  </si>
  <si>
    <t>“Џунгла“ д.о.о.  Добој</t>
  </si>
  <si>
    <t>МСЕ "Џунгла"</t>
  </si>
  <si>
    <t>24. март 2016</t>
  </si>
  <si>
    <t>01-189-5/15/Р-104-57</t>
  </si>
  <si>
    <t>РЕРС</t>
  </si>
  <si>
    <t>СЕ "Брегови"</t>
  </si>
  <si>
    <t>28.11.2014.</t>
  </si>
  <si>
    <t>23. април 2015.</t>
  </si>
  <si>
    <t>01-250-5/15/Р-106-74</t>
  </si>
  <si>
    <t>"Солар 1" 
д.о.о. Билећа</t>
  </si>
  <si>
    <t>"Солар 1"</t>
  </si>
  <si>
    <t>24. јун 2015.</t>
  </si>
  <si>
    <t>01-310-8/15/Р-110-119</t>
  </si>
  <si>
    <t>26.06.2015.</t>
  </si>
  <si>
    <t>01-316-9/15/Р-110-117</t>
  </si>
  <si>
    <t>"059" д.о.о. Билећа</t>
  </si>
  <si>
    <t>МСЕ 37 kWp Билећа</t>
  </si>
  <si>
    <t>СЕ Турменти 1</t>
  </si>
  <si>
    <t>СЕ Турменти 2</t>
  </si>
  <si>
    <t xml:space="preserve">УКУПНО </t>
  </si>
  <si>
    <t>Назив производног постројења
ПРЕЛИМИНАРНО ПРАВО НА ПОДСТИЦАЈ</t>
  </si>
  <si>
    <t>Планирани
 почетак рада и период трајања ППП</t>
  </si>
  <si>
    <t>Протоколни
број документа о
утврђивању права
на подстицање</t>
  </si>
  <si>
    <t>СЕ Турменти 3</t>
  </si>
  <si>
    <t>СЕ Турменти 4</t>
  </si>
  <si>
    <t>Дервента 1</t>
  </si>
  <si>
    <t>Александар Љиљак</t>
  </si>
  <si>
    <t>СЕ 240 kW  Водичево</t>
  </si>
  <si>
    <t>Месна индустрија „МИ - ТРИВАС“ д.о.о. Прњавор</t>
  </si>
  <si>
    <t>СЕ "Тривас"</t>
  </si>
  <si>
    <t>МХ „ЕРС“ МП АД Требиње, ЗП „РиТЕ  Угљевик“ АД Угљевик</t>
  </si>
  <si>
    <t>МСЕ "Угљевик"</t>
  </si>
  <si>
    <t>"БМБ ДЕЛТА" д.о.о. Градишка</t>
  </si>
  <si>
    <t>"БМБ Делта"</t>
  </si>
  <si>
    <t>Solar Energy Source</t>
  </si>
  <si>
    <t>Тесла д.о.о.</t>
  </si>
  <si>
    <t>СЕ Тесла 3</t>
  </si>
  <si>
    <t>"Тitanium Power" д.о.о. Козарска Дубица</t>
  </si>
  <si>
    <t>МСЕ "Солар 4"</t>
  </si>
  <si>
    <t>МСЕ "Солар 5"</t>
  </si>
  <si>
    <t>Столарија Подроманија д.о.о. Соколац</t>
  </si>
  <si>
    <t>„EIB Internationale“ а.д. Бања Лука</t>
  </si>
  <si>
    <t>МСЕ Рамићи</t>
  </si>
  <si>
    <t>"Солар 1" д.о.о. Билећа</t>
  </si>
  <si>
    <t>"Торич" д.о.о. Билећа</t>
  </si>
  <si>
    <t>УКУПНО</t>
  </si>
  <si>
    <t>Производња планирана Акционим планом (GWh)</t>
  </si>
  <si>
    <t>Тип електране према врсти извора и инсталисаној снази 
(MW)</t>
  </si>
  <si>
    <t>(пољопр.) биогас</t>
  </si>
  <si>
    <t>до укључиво 1МW</t>
  </si>
  <si>
    <t>преко 1МW  до укључиво 10MW</t>
  </si>
  <si>
    <t>до укључиво 1MW</t>
  </si>
  <si>
    <t>1.</t>
  </si>
  <si>
    <t xml:space="preserve"> "GOLD-MG" д.о.о. за производњу и трговину
Доњи Жабар</t>
  </si>
  <si>
    <t>"Buffalo Energy Gold-MG"</t>
  </si>
  <si>
    <t xml:space="preserve">10 kV </t>
  </si>
  <si>
    <t>27.03.2014.</t>
  </si>
  <si>
    <t>МХЕ Отоке</t>
  </si>
  <si>
    <t>Мале хидроелектане „Отоке 1“ Пиљић Славко с.п. Шипово</t>
  </si>
  <si>
    <t>Јањ, Попуже, општина Шипово</t>
  </si>
  <si>
    <t>Водоток ријеке
Вијаке</t>
  </si>
  <si>
    <t>Датум уласка у систем подстицаја</t>
  </si>
  <si>
    <t>МСЕ "BLC"</t>
  </si>
  <si>
    <t>Планирана нето годишња производња 
(kWh)</t>
  </si>
  <si>
    <t>МСЕ "Гламочани"</t>
  </si>
  <si>
    <t>01.10.2014.</t>
  </si>
  <si>
    <t>"Бесједа" д.о.о. Бања Лука</t>
  </si>
  <si>
    <t>16.04.2015.</t>
  </si>
  <si>
    <t>01.05.2015.</t>
  </si>
  <si>
    <t>нето мјерење</t>
  </si>
  <si>
    <t>"МPM Energy" д.о.о. Трн, Лакташи</t>
  </si>
  <si>
    <t>МСЕ "Неутрон 1"</t>
  </si>
  <si>
    <t>16.11.2015.</t>
  </si>
  <si>
    <t>16.02.2016.</t>
  </si>
  <si>
    <t xml:space="preserve">01-596-8/15/Р-02-4 </t>
  </si>
  <si>
    <t>28. август 2015</t>
  </si>
  <si>
    <t xml:space="preserve">22. јануар 2016. </t>
  </si>
  <si>
    <t>01-597-4/15/Р-02-5</t>
  </si>
  <si>
    <t>"Енергана" д.о.о.
Требиње</t>
  </si>
  <si>
    <t>26.мај 2016.</t>
  </si>
  <si>
    <t>01-302-5/16/Р-16-169</t>
  </si>
  <si>
    <t>25.март 2016.</t>
  </si>
  <si>
    <t>01-121-5/16/Р-08-99</t>
  </si>
  <si>
    <t>08. јун 2016.</t>
  </si>
  <si>
    <t>Прелиминарно право на подстицај одобрено до:</t>
  </si>
  <si>
    <t>18. 01.2017.</t>
  </si>
  <si>
    <t>01-133-4/16/Р-08-98</t>
  </si>
  <si>
    <t>18.04.2018.</t>
  </si>
  <si>
    <t>01.04.2016.</t>
  </si>
  <si>
    <t>01-371-9/15/Р-04-62</t>
  </si>
  <si>
    <t>01-374-16/15/Р-04-63</t>
  </si>
  <si>
    <t>18.8.2018.</t>
  </si>
  <si>
    <t>10.06.2016.</t>
  </si>
  <si>
    <t>01-186-10/16/Р-10-131</t>
  </si>
  <si>
    <t>чврста биомаса</t>
  </si>
  <si>
    <t>„Топлана“ а.д.Приједор</t>
  </si>
  <si>
    <t xml:space="preserve">„MVM Energy“ д.о.о. Градишка, Козинци 59, Градишка </t>
  </si>
  <si>
    <t>Планирани почетак рада постројења</t>
  </si>
  <si>
    <t>01.03.2013.</t>
  </si>
  <si>
    <t>Датум почетка остваривања права на подстицај</t>
  </si>
  <si>
    <t>16.06.2014.</t>
  </si>
  <si>
    <t>21.07.2014.</t>
  </si>
  <si>
    <t>16.07.2015.</t>
  </si>
  <si>
    <t>0,4 kV</t>
  </si>
  <si>
    <t>05.05.2013.</t>
  </si>
  <si>
    <t>Планирани датум почетка рада постројења</t>
  </si>
  <si>
    <t>Водоток ријеке</t>
  </si>
  <si>
    <t>01.04.2012.</t>
  </si>
  <si>
    <t>01.07.2012.</t>
  </si>
  <si>
    <t>01.08.2012.</t>
  </si>
  <si>
    <t>16.12.2015.</t>
  </si>
  <si>
    <t>Фратело 2</t>
  </si>
  <si>
    <t>01-206-15/15/Р-10-132</t>
  </si>
  <si>
    <t>03.12.2017.</t>
  </si>
  <si>
    <t xml:space="preserve">01-324-5/16/Р-17-185 </t>
  </si>
  <si>
    <t xml:space="preserve">01-325-3/16/Р-17-186 </t>
  </si>
  <si>
    <t>2.</t>
  </si>
  <si>
    <t>3.</t>
  </si>
  <si>
    <t xml:space="preserve"> - чврста</t>
  </si>
  <si>
    <t xml:space="preserve"> - биогас</t>
  </si>
  <si>
    <t xml:space="preserve"> - биотечности</t>
  </si>
  <si>
    <t>11.05.2016.</t>
  </si>
  <si>
    <t>„ЕРС“ – МП а.д. Требиње, ЗП „Електродистрибуција“ а.д. Пале</t>
  </si>
  <si>
    <t>„Месићи Нова“</t>
  </si>
  <si>
    <t xml:space="preserve">01-352-13/16/Р-20-214 </t>
  </si>
  <si>
    <t xml:space="preserve">Производња у постројењима на листи чекања  (GWh) </t>
  </si>
  <si>
    <t>01-369-8/16/Р-19-206</t>
  </si>
  <si>
    <t>27. јун 2016.</t>
  </si>
  <si>
    <t>01-370-5/16/Р-19-207</t>
  </si>
  <si>
    <t>"Алта" д.о.о. Прњавор</t>
  </si>
  <si>
    <t>07.07.2016.</t>
  </si>
  <si>
    <t xml:space="preserve"> 01-132-8/16/R-21-231</t>
  </si>
  <si>
    <t>Водоток ријеке
Студене</t>
  </si>
  <si>
    <t>01-338-12/16/R-21-221</t>
  </si>
  <si>
    <t>„Петрол Хидроенергија“ д.о.о. Теслић</t>
  </si>
  <si>
    <t>МХЕ Јелеч</t>
  </si>
  <si>
    <t>01-360-10/16/Р-21-222</t>
  </si>
  <si>
    <t xml:space="preserve">01-517-18/15/R-18-192 </t>
  </si>
  <si>
    <t>25.август 2016.</t>
  </si>
  <si>
    <t>01-518-21/15/Р-23-252</t>
  </si>
  <si>
    <t>01-393-9/16/Р-23-249</t>
  </si>
  <si>
    <t>Тесла д.о.о</t>
  </si>
  <si>
    <t>МХЕ Црквина</t>
  </si>
  <si>
    <t>Водоток ријеке
Црквене</t>
  </si>
  <si>
    <t>01-444-10/16/Р-23-251</t>
  </si>
  <si>
    <t>01-434-8/16/Р-23-253</t>
  </si>
  <si>
    <t>МХЕ Дренова</t>
  </si>
  <si>
    <t>01-535-15/14/Р-105-70</t>
  </si>
  <si>
    <t>01.05.2016.</t>
  </si>
  <si>
    <t>16.06.2016.</t>
  </si>
  <si>
    <t>28.06.2016.</t>
  </si>
  <si>
    <t>премија за енергију утрошену за властите потребе</t>
  </si>
  <si>
    <t>На листи чекања (GWh)</t>
  </si>
  <si>
    <t xml:space="preserve">01-516-25/15/Р-18-195 </t>
  </si>
  <si>
    <t>24.06.2016.</t>
  </si>
  <si>
    <t>Когенеративно производно постројење на биомасу „Нова топлана“</t>
  </si>
  <si>
    <t>Електрана на биомасу у Новој Тополи</t>
  </si>
  <si>
    <t>Р.бр.</t>
  </si>
  <si>
    <t>4.</t>
  </si>
  <si>
    <t>5.</t>
  </si>
  <si>
    <t>6.</t>
  </si>
  <si>
    <t>Рјешење Регулаторне комисије о одобрењу права на подстицај</t>
  </si>
  <si>
    <t xml:space="preserve"> ХИДРОЕНЕРГЕТСКА ПОСТРОЈЕЊА ИНСТАЛИСАНЕ СНАГЕ ДО 1MW - обавезан откуп за стара постројења</t>
  </si>
  <si>
    <t xml:space="preserve"> ХИДРОЕНЕРГЕТСКА ПОСТРОЈЕЊА ИНСТАЛИСАНЕ СНАГЕ ДО 1MW - остварено коначно право на подстицај</t>
  </si>
  <si>
    <t xml:space="preserve"> ХИДРОЕНЕРГЕТСКА ПОСТРОЈЕЊА ИНСТАЛИСАНЕ СНАГЕ ДО 1MW - остварено прелиминарно право на подстицај</t>
  </si>
  <si>
    <t xml:space="preserve"> ЗБИРНИ ПРЕГЛЕД ОСТВАРЕЊА ПРОИЗВОДЊЕ ЕЛЕКТРИЧНЕ ЕНЕРГИЈЕ У МХЕ ИНСТАЛИСАНЕ СНАГЕ ДО УКЉУЧИВО 1 MW</t>
  </si>
  <si>
    <t xml:space="preserve"> Количина електричне енергије за коју је остварено право на подстицај (GWh) </t>
  </si>
  <si>
    <t xml:space="preserve"> Количина електричне енергије за коју је остварено прелиминарно право на подстицај (GWh) </t>
  </si>
  <si>
    <t>7.</t>
  </si>
  <si>
    <t>8.</t>
  </si>
  <si>
    <t>УКУПНО МХЕ 1-10 MW</t>
  </si>
  <si>
    <t>Рјешење Регулаторне комисије о одобравању прелиминарног права</t>
  </si>
  <si>
    <t xml:space="preserve"> ЗБИРНИ ПРЕГЛЕД ОСТВАРЕЊА ПРОИЗВОДЊЕ ЕЛЕКТРИЧНЕ ЕНЕРГИЈЕ У МХЕ ИНСТАЛИСАНЕ СНАГЕ ВЕЋЕ ОД 1 ДО УКЉУЧИВО 10 MW</t>
  </si>
  <si>
    <t xml:space="preserve"> ХИДРОЕНЕРГЕТСКА ПОСТРОЈЕЊА ИНСТАЛИСАНЕ СНАГЕ ВЕЋЕ ОД 1 MW ДО УКЉУЧИВО 10 MW - остварено прелиминарно право на подстицај</t>
  </si>
  <si>
    <t xml:space="preserve"> ХИДРОЕНЕРГЕТСКА ПОСТРОЈЕЊА ИНСТАЛИСАНЕ СНАГЕ ВЕЋЕ ОД 1 MW ДО УКЉУЧИВО 10 MW - остварено коначно право на подстицај</t>
  </si>
  <si>
    <t>"Рафинерија уља
Модрича" а.д. Модрича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</si>
  <si>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</si>
  <si>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</si>
  <si>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</si>
  <si>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</si>
  <si>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</si>
  <si>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</si>
  <si>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</si>
  <si>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</si>
  <si>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</si>
  <si>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</si>
  <si>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</si>
  <si>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</si>
  <si>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</si>
  <si>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</si>
  <si>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</si>
  <si>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</si>
  <si>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</si>
  <si>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</si>
  <si>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</si>
  <si>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</si>
  <si>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</si>
  <si>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</si>
  <si>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</si>
  <si>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</si>
  <si>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</si>
  <si>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</si>
  <si>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</si>
  <si>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</si>
  <si>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Назив постројења</t>
  </si>
  <si>
    <t>Рјешење о одобрењу права</t>
  </si>
  <si>
    <t>Рјешење о одобрењу прелиминарног права</t>
  </si>
  <si>
    <t>година</t>
  </si>
  <si>
    <t>Преостала количина електричне енергије за подстицање (6)=(1)-(4)</t>
  </si>
  <si>
    <t xml:space="preserve"> СОЛАРНА ФОТОНАПОНСКА ПОСТРОЈЕЊА ИНСТАЛИСАНЕ СНАГЕ ДО УКЉУЧИВО 250 kW - остварено коначно право на подстицај</t>
  </si>
  <si>
    <t xml:space="preserve"> СОЛАРНА ФОТОНАПОНСКА ПОСТРОЈЕЊА ИНСТАЛИСАНЕ СНАГЕ ОД 250 kW ДО УКЉУЧИВО 1 MW (на објектима) - остварено коначно право на подстицај</t>
  </si>
  <si>
    <t xml:space="preserve"> СОЛАРНА ФОТОНАПОНСКА ПОСТРОЈЕЊА ИНСТАЛИСАНЕ СНАГЕ ОД 250 kW ДО УКЉУЧИВО 1 MW (на објектима) - остварено прелиминарно право на подстицај</t>
  </si>
  <si>
    <t>ПРОИЗВОДЊА ЕЛЕКТРИЧНЕ ЕНЕРГИЈЕ КОРИШЋЕЊЕМ БИОМАСЕ У ПОСТРОЈЕЊИМА ИНСТАЛИСАНЕ СНАГЕ ДО УКЉУЧИВО 1 MW - остварено коначно право на подстицај</t>
  </si>
  <si>
    <t>ПРОИЗВОДЊА ЕЛЕКТРИЧНЕ ЕНЕРГИЈЕ КОРИШЋЕЊЕМ БИОМАСЕ У ПОСТРОЈЕЊИМА ИНСТАЛИСАНЕ СНАГЕ ДО УКЉУЧИВО 1 MW - остварено прелиминарно право на подстицај</t>
  </si>
  <si>
    <t xml:space="preserve"> ЗБИРНИ ПРЕГЛЕД ОСТВАРЕЊА ПРОИЗВОДЊЕ ЕЛЕКТРИЧНЕ ЕНЕРГИЈЕ КОРИШЋЕЊЕМ БИОМАСЕ У ПОСТРОЈЕЊИМА ИНСТАЛИСАНЕ СНАГЕ ДО УКЉУЧИВО 1 МW</t>
  </si>
  <si>
    <t>Остварено право на подстицај (GWh)</t>
  </si>
  <si>
    <t>Остварено прелиминарно право на подстицај (GWh)</t>
  </si>
  <si>
    <t xml:space="preserve"> - чврста (14)=(6)+(10)</t>
  </si>
  <si>
    <t xml:space="preserve"> - биогас (15)=(7)+(11)</t>
  </si>
  <si>
    <t xml:space="preserve"> - биотечности (16)=(8)+(12)</t>
  </si>
  <si>
    <t>Укупно заузете количине (13)=(5)+(9) (GWh)</t>
  </si>
  <si>
    <t>Преостала количина за подстицање (21)=(1)-(13) (GWh)</t>
  </si>
  <si>
    <t xml:space="preserve"> - чврста (22)=(2)-(14)</t>
  </si>
  <si>
    <t xml:space="preserve"> - биогас (23)=(3)-(15) </t>
  </si>
  <si>
    <t xml:space="preserve"> - биотечности (24)=(4)-(16) </t>
  </si>
  <si>
    <t>Преостала количина за подстицање са листом за чекање (25)=(1)-(13)-(17) (GWh)</t>
  </si>
  <si>
    <t xml:space="preserve"> - чврста (26)=(2)-(14)-(18) </t>
  </si>
  <si>
    <t xml:space="preserve"> - биогас (27)=(3)-(15)-(19) </t>
  </si>
  <si>
    <t xml:space="preserve"> - биотечности (28)=(4)-(16)-(20) </t>
  </si>
  <si>
    <t xml:space="preserve"> Количина електричне енергије за коју је остварено право на подстицај (kWh) </t>
  </si>
  <si>
    <t xml:space="preserve"> Количина електричне енергије за коју је остварено прелиминарно право на подстицај (kWh) </t>
  </si>
  <si>
    <t xml:space="preserve">Преостала количина електричне енергије за подстицање (6)=(1)-(4) (kWh) </t>
  </si>
  <si>
    <t>МХ ЕРС МП а.д. Требиње, ЗП ХЕВ а.д. Мркоњић Град</t>
  </si>
  <si>
    <t>МХЕ Бочац 2</t>
  </si>
  <si>
    <t>Водоток ријеке Врбас</t>
  </si>
  <si>
    <t>-</t>
  </si>
  <si>
    <t>'ЕТ Мах'' д.о.о. Бањалука</t>
  </si>
  <si>
    <t>МСЕ Атлантик</t>
  </si>
  <si>
    <t>37.</t>
  </si>
  <si>
    <t>МХЕ БК2</t>
  </si>
  <si>
    <t>"Крупица мале хидроелектране" д.о.о. Фоча</t>
  </si>
  <si>
    <t>01-498-7/16/Р-28-306</t>
  </si>
  <si>
    <t xml:space="preserve"> „СТРАЈКО-ИНЖЕЊЕРИНГ“ д.о.о. Требиње</t>
  </si>
  <si>
    <t>МХЕ Чемерно</t>
  </si>
  <si>
    <t>Водоток ријеке
Трторишнице</t>
  </si>
  <si>
    <t>01-360-13/16/Р-27-294</t>
  </si>
  <si>
    <t>01-323-10/15/Р-110-120</t>
  </si>
  <si>
    <t>01-323-13/15/Р-27-298</t>
  </si>
  <si>
    <t>01-102-11/13/Р-58-21</t>
  </si>
  <si>
    <t>01-153-10/14/Р-82-103</t>
  </si>
  <si>
    <t>01-153-13/14/Р-27-296</t>
  </si>
  <si>
    <t>01-458-7/16/Р-27-290</t>
  </si>
  <si>
    <t>01-102-16/13/Р-27-297</t>
  </si>
  <si>
    <t xml:space="preserve"> 01-115-18/12/Р-27-295</t>
  </si>
  <si>
    <t xml:space="preserve"> 01-120-9/12/Р-27-292</t>
  </si>
  <si>
    <t xml:space="preserve"> 01-120-6/12</t>
  </si>
  <si>
    <t xml:space="preserve">01-357-12/12/Р-27-292 </t>
  </si>
  <si>
    <t>„Ћорић Денарт“ д.о.о. Прњавор</t>
  </si>
  <si>
    <t xml:space="preserve">20 kV </t>
  </si>
  <si>
    <t>27.10.2016.</t>
  </si>
  <si>
    <t>Електрос д.о.о. Бања Лука</t>
  </si>
  <si>
    <t>МХЕ Говза</t>
  </si>
  <si>
    <t>Водоток ријеке Говзе</t>
  </si>
  <si>
    <t>Водоток ријеке
Праче</t>
  </si>
  <si>
    <t>01-528-6/16/R-29-313</t>
  </si>
  <si>
    <t>01-476-15/16/R-29-318</t>
  </si>
  <si>
    <t>01-495-10/16/R-29-315</t>
  </si>
  <si>
    <t>01-245-7/15/Р-106-75</t>
  </si>
  <si>
    <t>01-512-8/15/Р-118-222</t>
  </si>
  <si>
    <t>01-79-6/16/Р-4-55</t>
  </si>
  <si>
    <t>01-529-10/16/Р-29-314</t>
  </si>
  <si>
    <t>01-207-6/16/Р-11-137</t>
  </si>
  <si>
    <t>6. април 2016.</t>
  </si>
  <si>
    <t>16.9.2016.</t>
  </si>
  <si>
    <t>"ППА" д.о.о. Бања Лука</t>
  </si>
  <si>
    <t>СЕ Гласинац 2</t>
  </si>
  <si>
    <t>СЕ Гласинац 3</t>
  </si>
  <si>
    <t>СЕ Подроманија 2</t>
  </si>
  <si>
    <t>СЕ Подроманија 3</t>
  </si>
  <si>
    <t>СЕ "Инцел"</t>
  </si>
  <si>
    <t>01-516-12/16/Р-30-326</t>
  </si>
  <si>
    <t>УКУПНО инсталисана снага (kW)</t>
  </si>
  <si>
    <t>38.</t>
  </si>
  <si>
    <t>01-378-13/16/R-32-342</t>
  </si>
  <si>
    <t>25.новембар 2016.</t>
  </si>
  <si>
    <t>МХЕ Подграб 1</t>
  </si>
  <si>
    <t>МХЕ Подивич</t>
  </si>
  <si>
    <t>"Бук" д.о.о. Источно Сарајево</t>
  </si>
  <si>
    <t>Водоток Касиндолске ријеке</t>
  </si>
  <si>
    <t>01-569-10/16/Р-33-347</t>
  </si>
  <si>
    <t>01-134-17/16/Р-34-356</t>
  </si>
  <si>
    <t>Рјешење о престанку прелиминарног права</t>
  </si>
  <si>
    <t>На објектима (kW)</t>
  </si>
  <si>
    <t>На земљи (kW)</t>
  </si>
  <si>
    <t xml:space="preserve"> СОЛАРНА ФОТОНАПОНСКА ПОСТРОЈЕЊА ИНСТАЛИСАНЕ СНАГЕ ДО УКЉУЧИВО 250 kW - остварено прелиминарно право на подстицај</t>
  </si>
  <si>
    <t xml:space="preserve">До укључиво 
50 kW
</t>
  </si>
  <si>
    <t xml:space="preserve">Преко 50 kW 
до укључиво 250 kW
</t>
  </si>
  <si>
    <t xml:space="preserve">Преко 250 kW до 
укључиво 1 МW
</t>
  </si>
  <si>
    <t xml:space="preserve">Преко 250 kW 
до укључиво 1 МW
</t>
  </si>
  <si>
    <t xml:space="preserve">До укључиво 
250 kW
</t>
  </si>
  <si>
    <t>Преко 50 kW 
до укључиво 250 kW</t>
  </si>
  <si>
    <t xml:space="preserve"> ЗБИРНИ ПРЕГЛЕД ОСТВАРЕЊА ПРОИЗВОДЊЕ ЕЛЕКТРИЧНЕ ЕНЕРГИЈЕ У СОЛАРНИМ ЕЛЕКТРАНАМА ИНСТАЛИСАНЕ СНАГЕ 
ДО И УКЉУЧИВО 250 kW (на земљи и на објектима)</t>
  </si>
  <si>
    <t>Година</t>
  </si>
  <si>
    <t>Инсталисана снага (kW)</t>
  </si>
  <si>
    <t>УКУПНО (kW)</t>
  </si>
  <si>
    <t>Инсталисана снага
(kW)</t>
  </si>
  <si>
    <t xml:space="preserve">1.  јул 2017. </t>
  </si>
  <si>
    <t xml:space="preserve">Планирана производња у постројењима на листи чекања (kWh) </t>
  </si>
  <si>
    <t>Количина електричне енергије планирана Акционим планом за подстицање (kWh)</t>
  </si>
  <si>
    <t>Укупно заузете количине електрине енергије за подстицање (4)=(2)+(3) (kWh)</t>
  </si>
  <si>
    <t xml:space="preserve">Количина електричне енергије за коју је остварено право на подстицај (kWh) </t>
  </si>
  <si>
    <t>МХ "ЕРС" МП а.д. Требиње, ЗП "Електродобој" а.д. Добој</t>
  </si>
  <si>
    <t xml:space="preserve">15.02.2017. </t>
  </si>
  <si>
    <t xml:space="preserve">30.10.2016. </t>
  </si>
  <si>
    <t xml:space="preserve">април 2018. </t>
  </si>
  <si>
    <t xml:space="preserve">24.07.2017. </t>
  </si>
  <si>
    <t>01.07. 2017.</t>
  </si>
  <si>
    <t>01.12. 2017.</t>
  </si>
  <si>
    <t>31.10. 2017.</t>
  </si>
  <si>
    <t xml:space="preserve">Количина електричне енергије за коју је остварено право на подстицај (GWh) </t>
  </si>
  <si>
    <t xml:space="preserve">Количина електричне енергије за коју је остварено прелиминарно право на подстицај (GWh) </t>
  </si>
  <si>
    <t>Количина електричне енергије планирана Акционим планом за подстицање (GWh)</t>
  </si>
  <si>
    <t>Укупно заузете количине електрине енергије за подстицање (4)=(2)+(3) (GWh)</t>
  </si>
  <si>
    <t>Преостала количина електричне енергије за подстицање (5)=(1)-(4) (GWh)</t>
  </si>
  <si>
    <t>01.05.2018.</t>
  </si>
  <si>
    <t>12.04.2017.</t>
  </si>
  <si>
    <t>30.09.2017.</t>
  </si>
  <si>
    <t xml:space="preserve"> 01.04.2018. </t>
  </si>
  <si>
    <t xml:space="preserve"> 01.12.2017. </t>
  </si>
  <si>
    <t xml:space="preserve"> 31.10.2017. </t>
  </si>
  <si>
    <t>Укупно заузете количине електричне енергије за подстицање (4)=(2)+(3) (GWh)</t>
  </si>
  <si>
    <t>Преостала количина електричне енергије за подстицање (6)=(1)-(4) (GWh)</t>
  </si>
  <si>
    <t>01-558-27/15/Р-36-20</t>
  </si>
  <si>
    <t>01-18-8/17/Р-36-19</t>
  </si>
  <si>
    <t>„Мега електрик“ д.о.о. Лакташи</t>
  </si>
  <si>
    <t>МХЕ Жираја II</t>
  </si>
  <si>
    <t>Водоток ријеке Жираје</t>
  </si>
  <si>
    <t>Период трајања ППП до</t>
  </si>
  <si>
    <t xml:space="preserve">8. </t>
  </si>
  <si>
    <t>...</t>
  </si>
  <si>
    <t xml:space="preserve"> КОЛИЧИНЕ ПОДСТИЦАНЕ ЕЛЕКТРИЧНЕ ЕНЕРГИЈЕ У КОГЕНЕРАТИВНИМ ПОСТРОЈЕЊИМА ОД 2009. ГОДИНЕ ДО 2020. ГОДИНЕ (АКЦИОНИ ПЛАН РЕПУБЛИКЕ СРПСКЕ, Одлука објављена у Службеном гласнику Републике Српске 45/14 ) </t>
  </si>
  <si>
    <t>Фосилна горива</t>
  </si>
  <si>
    <t xml:space="preserve">Производња планирана Акционим планом (GWh) </t>
  </si>
  <si>
    <t>Депонијски гас</t>
  </si>
  <si>
    <t xml:space="preserve"> - гасовита</t>
  </si>
  <si>
    <t xml:space="preserve">9. </t>
  </si>
  <si>
    <t>МСЕ Солар 2</t>
  </si>
  <si>
    <t>МСЕ Солар 3</t>
  </si>
  <si>
    <t>МСЕ Торич 1</t>
  </si>
  <si>
    <t>7..</t>
  </si>
  <si>
    <t xml:space="preserve"> 18.12.2016.</t>
  </si>
  <si>
    <t xml:space="preserve"> 24.01.2017.</t>
  </si>
  <si>
    <t>24.03.2017.</t>
  </si>
  <si>
    <t xml:space="preserve">01-195-16/16/Р-39-55 </t>
  </si>
  <si>
    <t xml:space="preserve"> 01-139-10/16/Р-39-54</t>
  </si>
  <si>
    <t xml:space="preserve">3. март 2018. </t>
  </si>
  <si>
    <t>20. јануар 2018.</t>
  </si>
  <si>
    <t>01-138-17/16/Р-39-53</t>
  </si>
  <si>
    <t>Технологија која се користи</t>
  </si>
  <si>
    <t xml:space="preserve">Право на подстицај </t>
  </si>
  <si>
    <t>Прелиминарно право на подстицај</t>
  </si>
  <si>
    <t>Број електрана</t>
  </si>
  <si>
    <t>Инсталисана снага MW</t>
  </si>
  <si>
    <t>Планирана производња (GWh)</t>
  </si>
  <si>
    <t>МХЕ до 1 MW</t>
  </si>
  <si>
    <t>МХЕ од 1 MW до 10 MW</t>
  </si>
  <si>
    <t>Укупно ХИДРО</t>
  </si>
  <si>
    <t>СЕ до 250 kW</t>
  </si>
  <si>
    <t>СЕ преко 250 kW</t>
  </si>
  <si>
    <t>Укупно СОЛАРНЕ</t>
  </si>
  <si>
    <t>Биомаса</t>
  </si>
  <si>
    <t>Биогас</t>
  </si>
  <si>
    <t>Укупно БИОМАСА/БИОГАС</t>
  </si>
  <si>
    <t>01-254-5/17/Р-45-107</t>
  </si>
  <si>
    <t>1.11.2016.</t>
  </si>
  <si>
    <t>16.3.2017.</t>
  </si>
  <si>
    <t> „Електро-Јована“ д.о.о. Милићи</t>
  </si>
  <si>
    <t>МХЕ Јована</t>
  </si>
  <si>
    <t>Водоток ријеке
Зелени Јадар</t>
  </si>
  <si>
    <t>01-175-10/17/Р-46-112</t>
  </si>
  <si>
    <t>01-238-7/17/Р-46-114</t>
  </si>
  <si>
    <t>„ZEMX“ д.о.о. Сребреница</t>
  </si>
  <si>
    <t>МХЕ Штедрић</t>
  </si>
  <si>
    <t xml:space="preserve">Водоток ријеке Штедрић </t>
  </si>
  <si>
    <t>01.09.2017.</t>
  </si>
  <si>
    <t>39.</t>
  </si>
  <si>
    <t>40.</t>
  </si>
  <si>
    <t>01-234-5/17/Р-47-130</t>
  </si>
  <si>
    <t xml:space="preserve">12. мај 2017. </t>
  </si>
  <si>
    <t>01-278-5/17/Р-47-131</t>
  </si>
  <si>
    <t>01-279-3/17/Р-47-132</t>
  </si>
  <si>
    <t xml:space="preserve">11. мај 2017. </t>
  </si>
  <si>
    <t>01-266-5/17/Р-46-113</t>
  </si>
  <si>
    <t>41.</t>
  </si>
  <si>
    <t>42.</t>
  </si>
  <si>
    <t>ГМ Енергија Теслић</t>
  </si>
  <si>
    <t>МХЕ Студена 2</t>
  </si>
  <si>
    <t>Ријека Студена</t>
  </si>
  <si>
    <t>01-225-10/17/R-49-144</t>
  </si>
  <si>
    <t>20.10.2017.</t>
  </si>
  <si>
    <t>СЕ "Инцел 2"</t>
  </si>
  <si>
    <t>1. март 2018.</t>
  </si>
  <si>
    <t>01-277-10/17/R-49-145</t>
  </si>
  <si>
    <t>Творница обуће „СПОРТЕК“ д.о.о. Котор Варош</t>
  </si>
  <si>
    <t>СЕ "Спортек"</t>
  </si>
  <si>
    <t>30. јул 2017.</t>
  </si>
  <si>
    <t>01-332-10/17/Р-54-195</t>
  </si>
  <si>
    <t>„ДСМ Електрус“ д.о.о. Котор Варош</t>
  </si>
  <si>
    <t>МХЕ Вигошта 2</t>
  </si>
  <si>
    <t>Ријека Вигошта</t>
  </si>
  <si>
    <t>01-360-9/17/Р-54-196</t>
  </si>
  <si>
    <t>30.10.2018.</t>
  </si>
  <si>
    <t>01-417-21/16/Р-54-197</t>
  </si>
  <si>
    <t>МХЕ Студена</t>
  </si>
  <si>
    <t>01-372-6/17/Р-53-190</t>
  </si>
  <si>
    <t>МХЕ Крушево брдо</t>
  </si>
  <si>
    <t>Остварено право на подстицај</t>
  </si>
  <si>
    <t xml:space="preserve"> 30.12.2017.</t>
  </si>
  <si>
    <t>01-486-20/16/Р-50-157</t>
  </si>
  <si>
    <t xml:space="preserve">01.01.2018. </t>
  </si>
  <si>
    <t>01-334-7/17/Р-51-173</t>
  </si>
  <si>
    <t>МХЕ Медош</t>
  </si>
  <si>
    <t>„MEDOŠ ONE“ д.о.о. Бања Лука</t>
  </si>
  <si>
    <t>Водоток ријеке Дрињаче</t>
  </si>
  <si>
    <t>01-285-10/17/Р-50-155</t>
  </si>
  <si>
    <t>01.09.2018.</t>
  </si>
  <si>
    <t>01-188-16/17/Р-50-154</t>
  </si>
  <si>
    <t xml:space="preserve"> 01.07.2018. </t>
  </si>
  <si>
    <t>остварено право на подстицај</t>
  </si>
  <si>
    <t>„PURE ENERGY“ д.о.о. Котор Варош</t>
  </si>
  <si>
    <t>Водоток ријеке Врбање</t>
  </si>
  <si>
    <t xml:space="preserve"> ЗБИРНИ ПРЕГЛЕД ОСТВАРЕЊА ПРОИЗВОДЊЕ ЕЛЕКТРИЧНЕ ЕНЕРГИЈЕ У СОЛАРНИМ ЕЛЕКТРАНАМА ИНСТАЛИСАНЕ СНАГЕ ОД 250 kW ДО УКЉУЧИВО 1 МW     (на објектима)</t>
  </si>
  <si>
    <t>до 01.03.2018. употребна од 16.6.2017.</t>
  </si>
  <si>
    <t>01-535-35/14/R-55-205</t>
  </si>
  <si>
    <t>12.03.2018.</t>
  </si>
  <si>
    <t xml:space="preserve">до 1.1.2018 употребна дозвола од 15.6.2017. </t>
  </si>
  <si>
    <t>до 12.3.2018. употребна дозвола од 17.8.2017.</t>
  </si>
  <si>
    <t>01-472-8/15/Р-114-185</t>
  </si>
  <si>
    <t xml:space="preserve">30.09.2017. </t>
  </si>
  <si>
    <t>Истекло  право</t>
  </si>
  <si>
    <t>Поништено рјешењем 
 01-245-14/15/Р-47-125</t>
  </si>
  <si>
    <t>25.9.2017.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</si>
</sst>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#,##0.0000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22"/>
      <name val="Arial"/>
      <family val="2"/>
      <charset val="238"/>
    </font>
    <font>
      <sz val="36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u/>
      <sz val="8"/>
      <color theme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b/>
      <u/>
      <sz val="9"/>
      <color theme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8.6999999999999993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D3C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EBB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5" fillId="0" borderId="0"/>
    <xf numFmtId="0" fontId="1" fillId="0" borderId="0"/>
  </cellStyleXfs>
  <cellXfs count="76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13" xfId="0" applyFont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0" fillId="0" borderId="12" xfId="0" applyFill="1" applyBorder="1"/>
    <xf numFmtId="0" fontId="16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6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4" fontId="0" fillId="0" borderId="0" xfId="0" applyNumberFormat="1"/>
    <xf numFmtId="0" fontId="7" fillId="0" borderId="26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15" fontId="7" fillId="0" borderId="12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165" fontId="17" fillId="0" borderId="3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0" fillId="0" borderId="21" xfId="0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10" fillId="4" borderId="13" xfId="0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/>
    </xf>
    <xf numFmtId="2" fontId="16" fillId="6" borderId="15" xfId="1" applyNumberFormat="1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0" fillId="10" borderId="13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vertical="center"/>
    </xf>
    <xf numFmtId="2" fontId="22" fillId="0" borderId="26" xfId="0" applyNumberFormat="1" applyFont="1" applyFill="1" applyBorder="1" applyAlignment="1">
      <alignment vertical="center"/>
    </xf>
    <xf numFmtId="2" fontId="22" fillId="0" borderId="9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2" fontId="22" fillId="0" borderId="12" xfId="0" applyNumberFormat="1" applyFont="1" applyFill="1" applyBorder="1" applyAlignment="1">
      <alignment vertical="center" wrapText="1"/>
    </xf>
    <xf numFmtId="2" fontId="22" fillId="0" borderId="26" xfId="0" applyNumberFormat="1" applyFont="1" applyFill="1" applyBorder="1" applyAlignment="1">
      <alignment vertical="center" wrapText="1"/>
    </xf>
    <xf numFmtId="2" fontId="22" fillId="0" borderId="15" xfId="0" applyNumberFormat="1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vertical="center"/>
    </xf>
    <xf numFmtId="2" fontId="2" fillId="0" borderId="0" xfId="0" applyNumberFormat="1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6" fillId="0" borderId="22" xfId="1" applyFont="1" applyFill="1" applyBorder="1" applyAlignment="1">
      <alignment horizont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right" vertical="center"/>
    </xf>
    <xf numFmtId="3" fontId="5" fillId="4" borderId="26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wrapText="1"/>
    </xf>
    <xf numFmtId="3" fontId="22" fillId="0" borderId="26" xfId="0" applyNumberFormat="1" applyFont="1" applyFill="1" applyBorder="1" applyAlignment="1">
      <alignment horizontal="right" vertical="center" wrapText="1"/>
    </xf>
    <xf numFmtId="3" fontId="5" fillId="6" borderId="12" xfId="0" applyNumberFormat="1" applyFont="1" applyFill="1" applyBorder="1" applyAlignment="1">
      <alignment horizontal="right" vertical="center"/>
    </xf>
    <xf numFmtId="3" fontId="5" fillId="6" borderId="26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right" vertical="center"/>
    </xf>
    <xf numFmtId="3" fontId="5" fillId="6" borderId="27" xfId="0" applyNumberFormat="1" applyFont="1" applyFill="1" applyBorder="1" applyAlignment="1">
      <alignment horizontal="right" vertical="center"/>
    </xf>
    <xf numFmtId="4" fontId="5" fillId="6" borderId="12" xfId="0" applyNumberFormat="1" applyFont="1" applyFill="1" applyBorder="1" applyAlignment="1">
      <alignment horizontal="right" vertical="center"/>
    </xf>
    <xf numFmtId="4" fontId="5" fillId="6" borderId="26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6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8" borderId="15" xfId="0" applyNumberFormat="1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2" fontId="23" fillId="10" borderId="16" xfId="0" applyNumberFormat="1" applyFont="1" applyFill="1" applyBorder="1" applyAlignment="1">
      <alignment horizontal="center" vertical="center" wrapText="1"/>
    </xf>
    <xf numFmtId="1" fontId="23" fillId="10" borderId="16" xfId="0" applyNumberFormat="1" applyFont="1" applyFill="1" applyBorder="1" applyAlignment="1">
      <alignment horizontal="center" vertical="center" wrapText="1"/>
    </xf>
    <xf numFmtId="2" fontId="10" fillId="8" borderId="12" xfId="0" applyNumberFormat="1" applyFont="1" applyFill="1" applyBorder="1" applyAlignment="1">
      <alignment horizontal="center" vertical="center" wrapText="1"/>
    </xf>
    <xf numFmtId="2" fontId="10" fillId="8" borderId="1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7" fillId="10" borderId="25" xfId="0" applyFont="1" applyFill="1" applyBorder="1" applyAlignment="1">
      <alignment horizontal="left" vertical="center" wrapText="1"/>
    </xf>
    <xf numFmtId="2" fontId="17" fillId="10" borderId="12" xfId="0" applyNumberFormat="1" applyFont="1" applyFill="1" applyBorder="1" applyAlignment="1">
      <alignment vertical="center"/>
    </xf>
    <xf numFmtId="2" fontId="17" fillId="10" borderId="26" xfId="0" applyNumberFormat="1" applyFont="1" applyFill="1" applyBorder="1" applyAlignment="1">
      <alignment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vertical="center"/>
    </xf>
    <xf numFmtId="2" fontId="17" fillId="0" borderId="26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right" vertical="center"/>
    </xf>
    <xf numFmtId="0" fontId="17" fillId="7" borderId="30" xfId="0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/>
    </xf>
    <xf numFmtId="2" fontId="17" fillId="7" borderId="15" xfId="0" applyNumberFormat="1" applyFont="1" applyFill="1" applyBorder="1" applyAlignment="1">
      <alignment horizontal="right" vertical="center"/>
    </xf>
    <xf numFmtId="2" fontId="17" fillId="7" borderId="27" xfId="0" applyNumberFormat="1" applyFont="1" applyFill="1" applyBorder="1" applyAlignment="1">
      <alignment horizontal="right" vertical="center"/>
    </xf>
    <xf numFmtId="2" fontId="5" fillId="7" borderId="16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10" fillId="0" borderId="55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17" fillId="7" borderId="12" xfId="0" applyNumberFormat="1" applyFont="1" applyFill="1" applyBorder="1" applyAlignment="1">
      <alignment horizontal="right" vertical="center"/>
    </xf>
    <xf numFmtId="4" fontId="17" fillId="7" borderId="26" xfId="0" applyNumberFormat="1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2" fontId="9" fillId="0" borderId="0" xfId="1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 wrapText="1"/>
    </xf>
    <xf numFmtId="0" fontId="5" fillId="13" borderId="25" xfId="0" applyFont="1" applyFill="1" applyBorder="1" applyAlignment="1">
      <alignment horizontal="left" vertical="center" wrapText="1"/>
    </xf>
    <xf numFmtId="2" fontId="5" fillId="13" borderId="12" xfId="0" applyNumberFormat="1" applyFont="1" applyFill="1" applyBorder="1" applyAlignment="1">
      <alignment vertical="center"/>
    </xf>
    <xf numFmtId="2" fontId="5" fillId="13" borderId="26" xfId="0" applyNumberFormat="1" applyFont="1" applyFill="1" applyBorder="1" applyAlignment="1">
      <alignment vertical="center"/>
    </xf>
    <xf numFmtId="0" fontId="5" fillId="13" borderId="12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vertical="center"/>
    </xf>
    <xf numFmtId="2" fontId="10" fillId="0" borderId="26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27" xfId="0" applyNumberFormat="1" applyFont="1" applyFill="1" applyBorder="1" applyAlignment="1">
      <alignment vertical="center"/>
    </xf>
    <xf numFmtId="0" fontId="5" fillId="13" borderId="33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center" vertical="center"/>
    </xf>
    <xf numFmtId="0" fontId="10" fillId="13" borderId="75" xfId="0" applyFont="1" applyFill="1" applyBorder="1" applyAlignment="1">
      <alignment horizontal="center" vertical="center"/>
    </xf>
    <xf numFmtId="0" fontId="10" fillId="13" borderId="77" xfId="0" applyFont="1" applyFill="1" applyBorder="1" applyAlignment="1">
      <alignment horizontal="center" vertical="center"/>
    </xf>
    <xf numFmtId="0" fontId="5" fillId="13" borderId="78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left" vertical="center" wrapText="1"/>
    </xf>
    <xf numFmtId="2" fontId="5" fillId="13" borderId="31" xfId="0" applyNumberFormat="1" applyFont="1" applyFill="1" applyBorder="1" applyAlignment="1">
      <alignment vertical="center"/>
    </xf>
    <xf numFmtId="2" fontId="5" fillId="13" borderId="32" xfId="0" applyNumberFormat="1" applyFont="1" applyFill="1" applyBorder="1" applyAlignment="1">
      <alignment vertical="center"/>
    </xf>
    <xf numFmtId="0" fontId="17" fillId="0" borderId="74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/>
    </xf>
    <xf numFmtId="165" fontId="17" fillId="0" borderId="34" xfId="0" applyNumberFormat="1" applyFont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1" fillId="0" borderId="67" xfId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5" fillId="0" borderId="0" xfId="2"/>
    <xf numFmtId="0" fontId="25" fillId="0" borderId="46" xfId="2" applyBorder="1"/>
    <xf numFmtId="0" fontId="25" fillId="14" borderId="12" xfId="2" applyFill="1" applyBorder="1" applyAlignment="1">
      <alignment horizontal="center" vertical="center" wrapText="1"/>
    </xf>
    <xf numFmtId="0" fontId="25" fillId="0" borderId="13" xfId="2" applyBorder="1"/>
    <xf numFmtId="0" fontId="25" fillId="0" borderId="25" xfId="2" applyBorder="1"/>
    <xf numFmtId="1" fontId="25" fillId="0" borderId="13" xfId="2" applyNumberFormat="1" applyBorder="1"/>
    <xf numFmtId="0" fontId="2" fillId="7" borderId="46" xfId="2" applyFont="1" applyFill="1" applyBorder="1"/>
    <xf numFmtId="1" fontId="2" fillId="7" borderId="13" xfId="2" applyNumberFormat="1" applyFont="1" applyFill="1" applyBorder="1"/>
    <xf numFmtId="0" fontId="2" fillId="7" borderId="13" xfId="2" applyFont="1" applyFill="1" applyBorder="1"/>
    <xf numFmtId="0" fontId="2" fillId="4" borderId="46" xfId="2" applyFont="1" applyFill="1" applyBorder="1"/>
    <xf numFmtId="1" fontId="2" fillId="4" borderId="13" xfId="2" applyNumberFormat="1" applyFont="1" applyFill="1" applyBorder="1"/>
    <xf numFmtId="0" fontId="2" fillId="6" borderId="13" xfId="2" applyFont="1" applyFill="1" applyBorder="1"/>
    <xf numFmtId="0" fontId="2" fillId="16" borderId="46" xfId="2" applyFont="1" applyFill="1" applyBorder="1"/>
    <xf numFmtId="1" fontId="2" fillId="16" borderId="13" xfId="2" applyNumberFormat="1" applyFont="1" applyFill="1" applyBorder="1"/>
    <xf numFmtId="0" fontId="2" fillId="16" borderId="13" xfId="2" applyFont="1" applyFill="1" applyBorder="1"/>
    <xf numFmtId="0" fontId="2" fillId="15" borderId="47" xfId="2" applyFont="1" applyFill="1" applyBorder="1" applyAlignment="1">
      <alignment horizontal="right"/>
    </xf>
    <xf numFmtId="1" fontId="26" fillId="15" borderId="14" xfId="2" applyNumberFormat="1" applyFont="1" applyFill="1" applyBorder="1"/>
    <xf numFmtId="0" fontId="26" fillId="15" borderId="14" xfId="2" applyFont="1" applyFill="1" applyBorder="1"/>
    <xf numFmtId="2" fontId="25" fillId="0" borderId="0" xfId="2" applyNumberFormat="1"/>
    <xf numFmtId="4" fontId="25" fillId="0" borderId="0" xfId="2" applyNumberFormat="1"/>
    <xf numFmtId="1" fontId="25" fillId="0" borderId="0" xfId="2" applyNumberFormat="1"/>
    <xf numFmtId="0" fontId="17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6" borderId="69" xfId="0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2" xfId="0" applyBorder="1"/>
    <xf numFmtId="0" fontId="7" fillId="4" borderId="7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7" fillId="0" borderId="7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2" fontId="17" fillId="2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4" fontId="13" fillId="6" borderId="15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13" fillId="4" borderId="41" xfId="0" applyNumberFormat="1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 wrapText="1"/>
    </xf>
    <xf numFmtId="2" fontId="10" fillId="17" borderId="5" xfId="0" applyNumberFormat="1" applyFont="1" applyFill="1" applyBorder="1" applyAlignment="1">
      <alignment horizontal="center" vertical="center" wrapText="1"/>
    </xf>
    <xf numFmtId="0" fontId="11" fillId="17" borderId="5" xfId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Border="1" applyAlignment="1">
      <alignment vertical="center"/>
    </xf>
    <xf numFmtId="2" fontId="5" fillId="0" borderId="3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vertical="center" wrapText="1"/>
    </xf>
    <xf numFmtId="2" fontId="10" fillId="17" borderId="12" xfId="0" applyNumberFormat="1" applyFont="1" applyFill="1" applyBorder="1" applyAlignment="1">
      <alignment horizontal="center" vertical="center" wrapText="1"/>
    </xf>
    <xf numFmtId="0" fontId="11" fillId="17" borderId="12" xfId="1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5" xfId="0" applyFont="1" applyBorder="1" applyAlignment="1">
      <alignment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/>
    </xf>
    <xf numFmtId="0" fontId="0" fillId="0" borderId="0" xfId="2" applyFont="1"/>
    <xf numFmtId="1" fontId="0" fillId="0" borderId="76" xfId="0" applyNumberFormat="1" applyBorder="1" applyAlignment="1">
      <alignment horizontal="center"/>
    </xf>
    <xf numFmtId="0" fontId="5" fillId="7" borderId="16" xfId="0" applyFont="1" applyFill="1" applyBorder="1" applyAlignment="1">
      <alignment vertical="center" wrapText="1"/>
    </xf>
    <xf numFmtId="0" fontId="5" fillId="7" borderId="16" xfId="0" applyFont="1" applyFill="1" applyBorder="1" applyAlignment="1">
      <alignment horizontal="right" vertical="center" wrapText="1"/>
    </xf>
    <xf numFmtId="0" fontId="5" fillId="7" borderId="69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vertical="center" wrapText="1"/>
    </xf>
    <xf numFmtId="0" fontId="23" fillId="6" borderId="4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23" fillId="6" borderId="15" xfId="0" applyNumberFormat="1" applyFont="1" applyFill="1" applyBorder="1" applyAlignment="1">
      <alignment vertical="center" wrapText="1"/>
    </xf>
    <xf numFmtId="3" fontId="7" fillId="4" borderId="15" xfId="0" applyNumberFormat="1" applyFont="1" applyFill="1" applyBorder="1" applyAlignment="1">
      <alignment vertical="center" wrapText="1"/>
    </xf>
    <xf numFmtId="164" fontId="25" fillId="0" borderId="12" xfId="2" applyNumberFormat="1" applyBorder="1"/>
    <xf numFmtId="164" fontId="25" fillId="0" borderId="26" xfId="2" applyNumberFormat="1" applyBorder="1"/>
    <xf numFmtId="164" fontId="2" fillId="7" borderId="12" xfId="2" applyNumberFormat="1" applyFont="1" applyFill="1" applyBorder="1"/>
    <xf numFmtId="164" fontId="2" fillId="7" borderId="26" xfId="2" applyNumberFormat="1" applyFont="1" applyFill="1" applyBorder="1"/>
    <xf numFmtId="164" fontId="2" fillId="4" borderId="12" xfId="2" applyNumberFormat="1" applyFont="1" applyFill="1" applyBorder="1"/>
    <xf numFmtId="164" fontId="2" fillId="4" borderId="26" xfId="2" applyNumberFormat="1" applyFont="1" applyFill="1" applyBorder="1"/>
    <xf numFmtId="164" fontId="2" fillId="16" borderId="12" xfId="2" applyNumberFormat="1" applyFont="1" applyFill="1" applyBorder="1"/>
    <xf numFmtId="164" fontId="2" fillId="16" borderId="26" xfId="2" applyNumberFormat="1" applyFont="1" applyFill="1" applyBorder="1"/>
    <xf numFmtId="164" fontId="26" fillId="15" borderId="15" xfId="2" applyNumberFormat="1" applyFont="1" applyFill="1" applyBorder="1"/>
    <xf numFmtId="164" fontId="26" fillId="15" borderId="27" xfId="2" applyNumberFormat="1" applyFont="1" applyFill="1" applyBorder="1"/>
    <xf numFmtId="164" fontId="25" fillId="0" borderId="22" xfId="2" applyNumberFormat="1" applyBorder="1"/>
    <xf numFmtId="164" fontId="2" fillId="7" borderId="22" xfId="2" applyNumberFormat="1" applyFont="1" applyFill="1" applyBorder="1"/>
    <xf numFmtId="164" fontId="2" fillId="4" borderId="22" xfId="2" applyNumberFormat="1" applyFont="1" applyFill="1" applyBorder="1"/>
    <xf numFmtId="164" fontId="2" fillId="16" borderId="22" xfId="2" applyNumberFormat="1" applyFont="1" applyFill="1" applyBorder="1"/>
    <xf numFmtId="164" fontId="26" fillId="15" borderId="41" xfId="2" applyNumberFormat="1" applyFont="1" applyFill="1" applyBorder="1"/>
    <xf numFmtId="164" fontId="2" fillId="6" borderId="12" xfId="2" applyNumberFormat="1" applyFont="1" applyFill="1" applyBorder="1"/>
    <xf numFmtId="164" fontId="2" fillId="6" borderId="26" xfId="2" applyNumberFormat="1" applyFont="1" applyFill="1" applyBorder="1"/>
    <xf numFmtId="0" fontId="11" fillId="0" borderId="12" xfId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1" fontId="0" fillId="16" borderId="0" xfId="0" applyNumberFormat="1" applyFill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0" fontId="25" fillId="19" borderId="25" xfId="2" applyFill="1" applyBorder="1" applyAlignment="1">
      <alignment horizontal="center" vertical="center" wrapText="1"/>
    </xf>
    <xf numFmtId="0" fontId="25" fillId="20" borderId="12" xfId="2" applyFill="1" applyBorder="1" applyAlignment="1">
      <alignment horizontal="center" vertical="center" wrapText="1"/>
    </xf>
    <xf numFmtId="0" fontId="25" fillId="19" borderId="22" xfId="2" applyFill="1" applyBorder="1" applyAlignment="1">
      <alignment horizontal="center" vertical="center" wrapText="1"/>
    </xf>
    <xf numFmtId="0" fontId="25" fillId="2" borderId="13" xfId="2" applyFill="1" applyBorder="1" applyAlignment="1">
      <alignment horizontal="center" vertical="center" wrapText="1"/>
    </xf>
    <xf numFmtId="0" fontId="25" fillId="22" borderId="13" xfId="2" applyFill="1" applyBorder="1" applyAlignment="1">
      <alignment horizontal="center" vertical="center" wrapText="1"/>
    </xf>
    <xf numFmtId="0" fontId="25" fillId="4" borderId="12" xfId="2" applyFill="1" applyBorder="1" applyAlignment="1">
      <alignment horizontal="center" vertical="center" wrapText="1"/>
    </xf>
    <xf numFmtId="0" fontId="25" fillId="21" borderId="26" xfId="2" applyFill="1" applyBorder="1" applyAlignment="1">
      <alignment horizontal="center" vertical="center" wrapText="1"/>
    </xf>
    <xf numFmtId="0" fontId="25" fillId="2" borderId="26" xfId="2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left" vertical="center" wrapText="1"/>
    </xf>
    <xf numFmtId="0" fontId="17" fillId="7" borderId="42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2" fillId="0" borderId="48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9" fillId="2" borderId="7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0" fillId="17" borderId="9" xfId="0" applyFont="1" applyFill="1" applyBorder="1" applyAlignment="1">
      <alignment horizontal="center" vertical="center" wrapText="1"/>
    </xf>
    <xf numFmtId="0" fontId="10" fillId="17" borderId="31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2" fontId="10" fillId="17" borderId="9" xfId="0" applyNumberFormat="1" applyFont="1" applyFill="1" applyBorder="1" applyAlignment="1">
      <alignment horizontal="center" vertical="center" wrapText="1"/>
    </xf>
    <xf numFmtId="2" fontId="10" fillId="17" borderId="31" xfId="0" applyNumberFormat="1" applyFont="1" applyFill="1" applyBorder="1" applyAlignment="1">
      <alignment horizontal="center" vertical="center" wrapText="1"/>
    </xf>
    <xf numFmtId="0" fontId="11" fillId="17" borderId="22" xfId="1" applyFont="1" applyFill="1" applyBorder="1" applyAlignment="1">
      <alignment horizontal="center" vertical="center" wrapText="1"/>
    </xf>
    <xf numFmtId="0" fontId="11" fillId="17" borderId="25" xfId="1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/>
    </xf>
    <xf numFmtId="0" fontId="10" fillId="17" borderId="31" xfId="0" applyFont="1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7" borderId="6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57" xfId="0" applyFont="1" applyFill="1" applyBorder="1" applyAlignment="1">
      <alignment horizontal="center"/>
    </xf>
    <xf numFmtId="0" fontId="11" fillId="0" borderId="12" xfId="1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11" fillId="0" borderId="22" xfId="1" applyNumberFormat="1" applyFont="1" applyBorder="1" applyAlignment="1">
      <alignment horizontal="center" vertical="center" wrapText="1"/>
    </xf>
    <xf numFmtId="0" fontId="11" fillId="0" borderId="25" xfId="1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 wrapText="1"/>
    </xf>
    <xf numFmtId="0" fontId="10" fillId="17" borderId="48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14" fillId="7" borderId="64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7" borderId="57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17" borderId="12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4" borderId="69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4" fontId="23" fillId="4" borderId="16" xfId="0" applyNumberFormat="1" applyFont="1" applyFill="1" applyBorder="1" applyAlignment="1">
      <alignment horizontal="center"/>
    </xf>
    <xf numFmtId="4" fontId="23" fillId="4" borderId="28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wrapText="1"/>
    </xf>
    <xf numFmtId="0" fontId="5" fillId="6" borderId="40" xfId="0" applyFont="1" applyFill="1" applyBorder="1" applyAlignment="1">
      <alignment horizontal="center" wrapText="1"/>
    </xf>
    <xf numFmtId="0" fontId="5" fillId="6" borderId="29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4" fontId="13" fillId="6" borderId="53" xfId="0" applyNumberFormat="1" applyFont="1" applyFill="1" applyBorder="1" applyAlignment="1">
      <alignment horizontal="center" vertical="center" wrapText="1"/>
    </xf>
    <xf numFmtId="4" fontId="13" fillId="6" borderId="68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57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wrapText="1"/>
    </xf>
    <xf numFmtId="0" fontId="5" fillId="10" borderId="45" xfId="0" applyFont="1" applyFill="1" applyBorder="1" applyAlignment="1">
      <alignment horizontal="center" wrapText="1"/>
    </xf>
    <xf numFmtId="0" fontId="5" fillId="10" borderId="43" xfId="0" applyFont="1" applyFill="1" applyBorder="1" applyAlignment="1">
      <alignment horizontal="center" wrapText="1"/>
    </xf>
    <xf numFmtId="0" fontId="5" fillId="10" borderId="54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57" xfId="0" applyFont="1" applyFill="1" applyBorder="1" applyAlignment="1">
      <alignment horizontal="center" wrapText="1"/>
    </xf>
    <xf numFmtId="0" fontId="23" fillId="10" borderId="69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3" fillId="10" borderId="64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5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wrapText="1"/>
    </xf>
    <xf numFmtId="0" fontId="5" fillId="13" borderId="45" xfId="0" applyFont="1" applyFill="1" applyBorder="1" applyAlignment="1">
      <alignment horizontal="center" wrapText="1"/>
    </xf>
    <xf numFmtId="0" fontId="5" fillId="13" borderId="43" xfId="0" applyFont="1" applyFill="1" applyBorder="1" applyAlignment="1">
      <alignment horizontal="center" wrapText="1"/>
    </xf>
    <xf numFmtId="0" fontId="5" fillId="13" borderId="54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3" borderId="57" xfId="0" applyFont="1" applyFill="1" applyBorder="1" applyAlignment="1">
      <alignment horizontal="center" wrapText="1"/>
    </xf>
    <xf numFmtId="0" fontId="25" fillId="14" borderId="11" xfId="2" applyFill="1" applyBorder="1" applyAlignment="1">
      <alignment horizontal="center"/>
    </xf>
    <xf numFmtId="0" fontId="25" fillId="14" borderId="5" xfId="2" applyFill="1" applyBorder="1" applyAlignment="1">
      <alignment horizontal="center"/>
    </xf>
    <xf numFmtId="0" fontId="25" fillId="14" borderId="6" xfId="2" applyFill="1" applyBorder="1" applyAlignment="1">
      <alignment horizontal="center"/>
    </xf>
    <xf numFmtId="0" fontId="25" fillId="20" borderId="4" xfId="2" applyFill="1" applyBorder="1" applyAlignment="1">
      <alignment horizontal="center" wrapText="1"/>
    </xf>
    <xf numFmtId="0" fontId="25" fillId="20" borderId="5" xfId="2" applyFill="1" applyBorder="1" applyAlignment="1">
      <alignment horizontal="center" wrapText="1"/>
    </xf>
    <xf numFmtId="0" fontId="25" fillId="20" borderId="60" xfId="2" applyFill="1" applyBorder="1" applyAlignment="1">
      <alignment horizontal="center" wrapText="1"/>
    </xf>
    <xf numFmtId="0" fontId="25" fillId="4" borderId="11" xfId="2" applyFill="1" applyBorder="1" applyAlignment="1">
      <alignment horizontal="center"/>
    </xf>
    <xf numFmtId="0" fontId="25" fillId="4" borderId="5" xfId="2" applyFill="1" applyBorder="1" applyAlignment="1">
      <alignment horizontal="center"/>
    </xf>
    <xf numFmtId="0" fontId="25" fillId="4" borderId="6" xfId="2" applyFill="1" applyBorder="1" applyAlignment="1">
      <alignment horizontal="center"/>
    </xf>
    <xf numFmtId="0" fontId="25" fillId="0" borderId="59" xfId="2" applyBorder="1" applyAlignment="1">
      <alignment horizontal="center" vertical="center"/>
    </xf>
    <xf numFmtId="0" fontId="25" fillId="0" borderId="78" xfId="2" applyBorder="1" applyAlignment="1">
      <alignment horizontal="center" vertical="center"/>
    </xf>
    <xf numFmtId="0" fontId="25" fillId="0" borderId="0" xfId="2" applyFill="1"/>
  </cellXfs>
  <cellStyles count="4">
    <cellStyle name="Hyperlink" xfId="1" builtinId="8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9966"/>
      <color rgb="FFC0C0C0"/>
      <color rgb="FFCEBBDB"/>
      <color rgb="FFFF33CC"/>
      <color rgb="FFC1D3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enka.REERS/AppData/Local/Microsoft/Windows/Temporary%20Internet%20Files/Content.Outlook/S1V2W7AV/OIE%202012-2016%20na%20dan%2022_3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ar_j/AppData/Local/Microsoft/Windows/Temporary%20Internet%20Files/Content.Outlook/4CZCVUZS/1%20OIE%20%20tabela%20za%20SAJT%208dec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ња ОИЕ"/>
      <sheetName val="Обрачуната накнада ОИЕ"/>
      <sheetName val="Прелиминарна права"/>
      <sheetName val="Укупно"/>
      <sheetName val="Redovne sjednice"/>
    </sheetNames>
    <sheetDataSet>
      <sheetData sheetId="0">
        <row r="5">
          <cell r="B5">
            <v>3.93</v>
          </cell>
        </row>
        <row r="23">
          <cell r="A23">
            <v>17</v>
          </cell>
          <cell r="F23">
            <v>161.841396</v>
          </cell>
        </row>
        <row r="74">
          <cell r="F74">
            <v>8.2037999999999993</v>
          </cell>
        </row>
        <row r="75">
          <cell r="F75">
            <v>7.0999999999999994E-2</v>
          </cell>
        </row>
        <row r="76">
          <cell r="B76">
            <v>0.24</v>
          </cell>
          <cell r="F76">
            <v>1.96</v>
          </cell>
        </row>
      </sheetData>
      <sheetData sheetId="1"/>
      <sheetData sheetId="2">
        <row r="31">
          <cell r="F31">
            <v>34.08</v>
          </cell>
        </row>
        <row r="68">
          <cell r="E68">
            <v>38.909999999999997</v>
          </cell>
          <cell r="F68">
            <v>168.33533200000002</v>
          </cell>
        </row>
        <row r="69">
          <cell r="E69">
            <v>2.3073399999999999</v>
          </cell>
          <cell r="F69">
            <v>2.6750340000000001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E do 1MW"/>
      <sheetName val="MHE 1-10 MW"/>
      <sheetName val="SE do 250kW"/>
      <sheetName val="SE preko 250 kW"/>
      <sheetName val="Biomasa_Biogas"/>
    </sheetNames>
    <sheetDataSet>
      <sheetData sheetId="0">
        <row r="14">
          <cell r="F14">
            <v>3.169</v>
          </cell>
        </row>
      </sheetData>
      <sheetData sheetId="1">
        <row r="17">
          <cell r="E17">
            <v>37.397199999999998</v>
          </cell>
        </row>
      </sheetData>
      <sheetData sheetId="2" refreshError="1"/>
      <sheetData sheetId="3" refreshError="1"/>
      <sheetData sheetId="4">
        <row r="8">
          <cell r="F8">
            <v>0.98899999999999999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ers.ba/node/4325" TargetMode="External"/><Relationship Id="rId13" Type="http://schemas.openxmlformats.org/officeDocument/2006/relationships/hyperlink" Target="http://www.reers.ba/node/4455" TargetMode="External"/><Relationship Id="rId18" Type="http://schemas.openxmlformats.org/officeDocument/2006/relationships/hyperlink" Target="http://www.reers.ba/lat/node/4480" TargetMode="External"/><Relationship Id="rId26" Type="http://schemas.openxmlformats.org/officeDocument/2006/relationships/hyperlink" Target="http://reers.ba/node/5046" TargetMode="External"/><Relationship Id="rId3" Type="http://schemas.openxmlformats.org/officeDocument/2006/relationships/hyperlink" Target="http://www.reers.ba/node/2723" TargetMode="External"/><Relationship Id="rId21" Type="http://schemas.openxmlformats.org/officeDocument/2006/relationships/hyperlink" Target="http://reers.ba/node/5040" TargetMode="External"/><Relationship Id="rId7" Type="http://schemas.openxmlformats.org/officeDocument/2006/relationships/hyperlink" Target="http://www.reers.ba/node/4323" TargetMode="External"/><Relationship Id="rId12" Type="http://schemas.openxmlformats.org/officeDocument/2006/relationships/hyperlink" Target="http://www.reers.ba/node/3426" TargetMode="External"/><Relationship Id="rId17" Type="http://schemas.openxmlformats.org/officeDocument/2006/relationships/hyperlink" Target="http://www.reers.ba/node/4449" TargetMode="External"/><Relationship Id="rId25" Type="http://schemas.openxmlformats.org/officeDocument/2006/relationships/hyperlink" Target="http://www.reers.ba/lat/node/4946" TargetMode="External"/><Relationship Id="rId2" Type="http://schemas.openxmlformats.org/officeDocument/2006/relationships/hyperlink" Target="http://www.reers.ba/node/2623" TargetMode="External"/><Relationship Id="rId16" Type="http://schemas.openxmlformats.org/officeDocument/2006/relationships/hyperlink" Target="http://www.reers.ba/node/4453" TargetMode="External"/><Relationship Id="rId20" Type="http://schemas.openxmlformats.org/officeDocument/2006/relationships/hyperlink" Target="http://www.reers.ba/node/498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reers.ba/node/1719" TargetMode="External"/><Relationship Id="rId6" Type="http://schemas.openxmlformats.org/officeDocument/2006/relationships/hyperlink" Target="http://www.reers.ba/node/4039" TargetMode="External"/><Relationship Id="rId11" Type="http://schemas.openxmlformats.org/officeDocument/2006/relationships/hyperlink" Target="http://reers.ba/node/4976" TargetMode="External"/><Relationship Id="rId24" Type="http://schemas.openxmlformats.org/officeDocument/2006/relationships/hyperlink" Target="http://www.reers.ba/node/4915" TargetMode="External"/><Relationship Id="rId5" Type="http://schemas.openxmlformats.org/officeDocument/2006/relationships/hyperlink" Target="http://www.reers.ba/node/3426" TargetMode="External"/><Relationship Id="rId15" Type="http://schemas.openxmlformats.org/officeDocument/2006/relationships/hyperlink" Target="http://www.reers.ba/node/2623" TargetMode="External"/><Relationship Id="rId23" Type="http://schemas.openxmlformats.org/officeDocument/2006/relationships/hyperlink" Target="http://www.reers.ba/node/4911" TargetMode="External"/><Relationship Id="rId28" Type="http://schemas.openxmlformats.org/officeDocument/2006/relationships/hyperlink" Target="http://reers.ba/node/4970" TargetMode="External"/><Relationship Id="rId10" Type="http://schemas.openxmlformats.org/officeDocument/2006/relationships/hyperlink" Target="http://www.reers.ba/node/4628" TargetMode="External"/><Relationship Id="rId19" Type="http://schemas.openxmlformats.org/officeDocument/2006/relationships/hyperlink" Target="http://www.reers.ba/node/4556" TargetMode="External"/><Relationship Id="rId4" Type="http://schemas.openxmlformats.org/officeDocument/2006/relationships/hyperlink" Target="http://www.reers.ba/node/2842" TargetMode="External"/><Relationship Id="rId9" Type="http://schemas.openxmlformats.org/officeDocument/2006/relationships/hyperlink" Target="http://www.reers.ba/lat/node/4236" TargetMode="External"/><Relationship Id="rId14" Type="http://schemas.openxmlformats.org/officeDocument/2006/relationships/hyperlink" Target="http://www.reers.ba/node/1719" TargetMode="External"/><Relationship Id="rId22" Type="http://schemas.openxmlformats.org/officeDocument/2006/relationships/hyperlink" Target="http://www.reers.ba/node/4441" TargetMode="External"/><Relationship Id="rId27" Type="http://schemas.openxmlformats.org/officeDocument/2006/relationships/hyperlink" Target="http://reers.ba/node/500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ers.ba/node/4053" TargetMode="External"/><Relationship Id="rId13" Type="http://schemas.openxmlformats.org/officeDocument/2006/relationships/hyperlink" Target="http://www.reers.ba/node/4457" TargetMode="External"/><Relationship Id="rId18" Type="http://schemas.openxmlformats.org/officeDocument/2006/relationships/hyperlink" Target="http://www.reers.ba/node/4459" TargetMode="External"/><Relationship Id="rId26" Type="http://schemas.openxmlformats.org/officeDocument/2006/relationships/hyperlink" Target="http://www.reers.ba/node/4812" TargetMode="External"/><Relationship Id="rId3" Type="http://schemas.openxmlformats.org/officeDocument/2006/relationships/hyperlink" Target="http://www.reers.ba/node/1719" TargetMode="External"/><Relationship Id="rId21" Type="http://schemas.openxmlformats.org/officeDocument/2006/relationships/hyperlink" Target="http://www.reers.ba/node/3332" TargetMode="External"/><Relationship Id="rId7" Type="http://schemas.openxmlformats.org/officeDocument/2006/relationships/hyperlink" Target="http://www.reers.ba/node/3699" TargetMode="External"/><Relationship Id="rId12" Type="http://schemas.openxmlformats.org/officeDocument/2006/relationships/hyperlink" Target="http://www.reers.ba/node/1340" TargetMode="External"/><Relationship Id="rId17" Type="http://schemas.openxmlformats.org/officeDocument/2006/relationships/hyperlink" Target="http://www.reers.ba/node/4459" TargetMode="External"/><Relationship Id="rId25" Type="http://schemas.openxmlformats.org/officeDocument/2006/relationships/hyperlink" Target="http://www.reers.ba/lat/node/5097" TargetMode="External"/><Relationship Id="rId2" Type="http://schemas.openxmlformats.org/officeDocument/2006/relationships/hyperlink" Target="http://www.reers.ba/node/2623" TargetMode="External"/><Relationship Id="rId16" Type="http://schemas.openxmlformats.org/officeDocument/2006/relationships/hyperlink" Target="http://www.reers.ba/node/1719" TargetMode="External"/><Relationship Id="rId20" Type="http://schemas.openxmlformats.org/officeDocument/2006/relationships/hyperlink" Target="http://www.reers.ba/lat/node/4482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://www.reers.ba/node/2723" TargetMode="External"/><Relationship Id="rId6" Type="http://schemas.openxmlformats.org/officeDocument/2006/relationships/hyperlink" Target="http://www.reers.ba/node/1691" TargetMode="External"/><Relationship Id="rId11" Type="http://schemas.openxmlformats.org/officeDocument/2006/relationships/hyperlink" Target="http://www.reers.ba/node/3903" TargetMode="External"/><Relationship Id="rId24" Type="http://schemas.openxmlformats.org/officeDocument/2006/relationships/hyperlink" Target="http://www.reers.ba/node/4487" TargetMode="External"/><Relationship Id="rId5" Type="http://schemas.openxmlformats.org/officeDocument/2006/relationships/hyperlink" Target="http://www.reers.ba/node/3256" TargetMode="External"/><Relationship Id="rId15" Type="http://schemas.openxmlformats.org/officeDocument/2006/relationships/hyperlink" Target="http://www.reers.ba/node/4447" TargetMode="External"/><Relationship Id="rId23" Type="http://schemas.openxmlformats.org/officeDocument/2006/relationships/hyperlink" Target="http://www.reers.ba/node/3903" TargetMode="External"/><Relationship Id="rId28" Type="http://schemas.openxmlformats.org/officeDocument/2006/relationships/hyperlink" Target="http://www.reers.ba/node/4898" TargetMode="External"/><Relationship Id="rId10" Type="http://schemas.openxmlformats.org/officeDocument/2006/relationships/hyperlink" Target="http://www.reers.ba/node/4237" TargetMode="External"/><Relationship Id="rId19" Type="http://schemas.openxmlformats.org/officeDocument/2006/relationships/hyperlink" Target="http://www.reers.ba/node/4461" TargetMode="External"/><Relationship Id="rId4" Type="http://schemas.openxmlformats.org/officeDocument/2006/relationships/hyperlink" Target="http://www.reers.ba/node/3332" TargetMode="External"/><Relationship Id="rId9" Type="http://schemas.openxmlformats.org/officeDocument/2006/relationships/hyperlink" Target="http://www.reers.ba/node/4219" TargetMode="External"/><Relationship Id="rId14" Type="http://schemas.openxmlformats.org/officeDocument/2006/relationships/hyperlink" Target="http://www.reers.ba/node/4451" TargetMode="External"/><Relationship Id="rId22" Type="http://schemas.openxmlformats.org/officeDocument/2006/relationships/hyperlink" Target="http://www.reers.ba/node/3699" TargetMode="External"/><Relationship Id="rId27" Type="http://schemas.openxmlformats.org/officeDocument/2006/relationships/hyperlink" Target="http://reers.ba/node/497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ers.ba/node/3135" TargetMode="External"/><Relationship Id="rId18" Type="http://schemas.openxmlformats.org/officeDocument/2006/relationships/hyperlink" Target="http://www.reers.ba/node/3231" TargetMode="External"/><Relationship Id="rId26" Type="http://schemas.openxmlformats.org/officeDocument/2006/relationships/hyperlink" Target="http://www.reers.ba/node/3599" TargetMode="External"/><Relationship Id="rId39" Type="http://schemas.openxmlformats.org/officeDocument/2006/relationships/hyperlink" Target="http://www.reers.ba/lat/node/4186" TargetMode="External"/><Relationship Id="rId3" Type="http://schemas.openxmlformats.org/officeDocument/2006/relationships/hyperlink" Target="http://www.reers.ba/node/2657" TargetMode="External"/><Relationship Id="rId21" Type="http://schemas.openxmlformats.org/officeDocument/2006/relationships/hyperlink" Target="http://www.reers.ba/node/3289" TargetMode="External"/><Relationship Id="rId34" Type="http://schemas.openxmlformats.org/officeDocument/2006/relationships/hyperlink" Target="http://www.reers.ba/node/4155" TargetMode="External"/><Relationship Id="rId42" Type="http://schemas.openxmlformats.org/officeDocument/2006/relationships/hyperlink" Target="http://www.reers.ba/node/4630" TargetMode="External"/><Relationship Id="rId47" Type="http://schemas.openxmlformats.org/officeDocument/2006/relationships/hyperlink" Target="http://www.reers.ba/node/4873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reers.ba/node/2448" TargetMode="External"/><Relationship Id="rId12" Type="http://schemas.openxmlformats.org/officeDocument/2006/relationships/hyperlink" Target="http://www.reers.ba/node/2942" TargetMode="External"/><Relationship Id="rId17" Type="http://schemas.openxmlformats.org/officeDocument/2006/relationships/hyperlink" Target="http://www.reers.ba/node/3183" TargetMode="External"/><Relationship Id="rId25" Type="http://schemas.openxmlformats.org/officeDocument/2006/relationships/hyperlink" Target="http://www.reers.ba/node/3428" TargetMode="External"/><Relationship Id="rId33" Type="http://schemas.openxmlformats.org/officeDocument/2006/relationships/hyperlink" Target="http://www.reers.ba/node/3888" TargetMode="External"/><Relationship Id="rId38" Type="http://schemas.openxmlformats.org/officeDocument/2006/relationships/hyperlink" Target="http://www.reers.ba/lat/node/4242" TargetMode="External"/><Relationship Id="rId46" Type="http://schemas.openxmlformats.org/officeDocument/2006/relationships/hyperlink" Target="http://www.reers.ba/node/4875" TargetMode="External"/><Relationship Id="rId2" Type="http://schemas.openxmlformats.org/officeDocument/2006/relationships/hyperlink" Target="http://www.reers.ba/node/2653" TargetMode="External"/><Relationship Id="rId16" Type="http://schemas.openxmlformats.org/officeDocument/2006/relationships/hyperlink" Target="http://www.reers.ba/node/3129" TargetMode="External"/><Relationship Id="rId20" Type="http://schemas.openxmlformats.org/officeDocument/2006/relationships/hyperlink" Target="http://www.reers.ba/node/3287" TargetMode="External"/><Relationship Id="rId29" Type="http://schemas.openxmlformats.org/officeDocument/2006/relationships/hyperlink" Target="http://www.reers.ba/node/4143" TargetMode="External"/><Relationship Id="rId41" Type="http://schemas.openxmlformats.org/officeDocument/2006/relationships/hyperlink" Target="http://www.reers.ba/lat/node/4547" TargetMode="External"/><Relationship Id="rId1" Type="http://schemas.openxmlformats.org/officeDocument/2006/relationships/hyperlink" Target="http://www.reers.ba/node/2655" TargetMode="External"/><Relationship Id="rId6" Type="http://schemas.openxmlformats.org/officeDocument/2006/relationships/hyperlink" Target="http://www.reers.ba/node/2625" TargetMode="External"/><Relationship Id="rId11" Type="http://schemas.openxmlformats.org/officeDocument/2006/relationships/hyperlink" Target="http://www.reers.ba/node/2940" TargetMode="External"/><Relationship Id="rId24" Type="http://schemas.openxmlformats.org/officeDocument/2006/relationships/hyperlink" Target="http://www.reers.ba/node/3422" TargetMode="External"/><Relationship Id="rId32" Type="http://schemas.openxmlformats.org/officeDocument/2006/relationships/hyperlink" Target="http://www.reers.ba/node/3888" TargetMode="External"/><Relationship Id="rId37" Type="http://schemas.openxmlformats.org/officeDocument/2006/relationships/hyperlink" Target="http://www.reers.ba/node/4225" TargetMode="External"/><Relationship Id="rId40" Type="http://schemas.openxmlformats.org/officeDocument/2006/relationships/hyperlink" Target="http://www.reers.ba/node/4041" TargetMode="External"/><Relationship Id="rId45" Type="http://schemas.openxmlformats.org/officeDocument/2006/relationships/hyperlink" Target="http://www.reers.ba/node/4732" TargetMode="External"/><Relationship Id="rId5" Type="http://schemas.openxmlformats.org/officeDocument/2006/relationships/hyperlink" Target="http://www.reers.ba/node/2549" TargetMode="External"/><Relationship Id="rId15" Type="http://schemas.openxmlformats.org/officeDocument/2006/relationships/hyperlink" Target="http://www.reers.ba/node/3131" TargetMode="External"/><Relationship Id="rId23" Type="http://schemas.openxmlformats.org/officeDocument/2006/relationships/hyperlink" Target="http://www.reers.ba/node/3422" TargetMode="External"/><Relationship Id="rId28" Type="http://schemas.openxmlformats.org/officeDocument/2006/relationships/hyperlink" Target="http://www.reers.ba/node/3765" TargetMode="External"/><Relationship Id="rId36" Type="http://schemas.openxmlformats.org/officeDocument/2006/relationships/hyperlink" Target="http://www.reers.ba/node/4227" TargetMode="External"/><Relationship Id="rId49" Type="http://schemas.openxmlformats.org/officeDocument/2006/relationships/hyperlink" Target="http://www.reers.ba/node/4909" TargetMode="External"/><Relationship Id="rId10" Type="http://schemas.openxmlformats.org/officeDocument/2006/relationships/hyperlink" Target="http://www.reers.ba/node/2444" TargetMode="External"/><Relationship Id="rId19" Type="http://schemas.openxmlformats.org/officeDocument/2006/relationships/hyperlink" Target="http://www.reers.ba/node/3254" TargetMode="External"/><Relationship Id="rId31" Type="http://schemas.openxmlformats.org/officeDocument/2006/relationships/hyperlink" Target="http://www.reers.ba/node/4009" TargetMode="External"/><Relationship Id="rId44" Type="http://schemas.openxmlformats.org/officeDocument/2006/relationships/hyperlink" Target="http://www.reers.ba/node/4734" TargetMode="External"/><Relationship Id="rId4" Type="http://schemas.openxmlformats.org/officeDocument/2006/relationships/hyperlink" Target="http://www.reers.ba/node/2615" TargetMode="External"/><Relationship Id="rId9" Type="http://schemas.openxmlformats.org/officeDocument/2006/relationships/hyperlink" Target="http://www.reers.ba/node/2446" TargetMode="External"/><Relationship Id="rId14" Type="http://schemas.openxmlformats.org/officeDocument/2006/relationships/hyperlink" Target="http://www.reers.ba/node/3133" TargetMode="External"/><Relationship Id="rId22" Type="http://schemas.openxmlformats.org/officeDocument/2006/relationships/hyperlink" Target="http://www.reers.ba/node/3448" TargetMode="External"/><Relationship Id="rId27" Type="http://schemas.openxmlformats.org/officeDocument/2006/relationships/hyperlink" Target="http://www.reers.ba/node/3767" TargetMode="External"/><Relationship Id="rId30" Type="http://schemas.openxmlformats.org/officeDocument/2006/relationships/hyperlink" Target="http://www.reers.ba/node/4011" TargetMode="External"/><Relationship Id="rId35" Type="http://schemas.openxmlformats.org/officeDocument/2006/relationships/hyperlink" Target="http://www.reers.ba/node/4157" TargetMode="External"/><Relationship Id="rId43" Type="http://schemas.openxmlformats.org/officeDocument/2006/relationships/hyperlink" Target="http://www.reers.ba/node/4736" TargetMode="External"/><Relationship Id="rId48" Type="http://schemas.openxmlformats.org/officeDocument/2006/relationships/hyperlink" Target="http://www.reers.ba/node/4871" TargetMode="External"/><Relationship Id="rId8" Type="http://schemas.openxmlformats.org/officeDocument/2006/relationships/hyperlink" Target="http://www.reers.ba/node/244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reers.ba/node/5044" TargetMode="External"/><Relationship Id="rId2" Type="http://schemas.openxmlformats.org/officeDocument/2006/relationships/hyperlink" Target="http://www.reers.ba/lat/node/4942" TargetMode="External"/><Relationship Id="rId1" Type="http://schemas.openxmlformats.org/officeDocument/2006/relationships/hyperlink" Target="http://www.reers.ba/node/4514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ers.ba/lat/node/4474" TargetMode="External"/><Relationship Id="rId2" Type="http://schemas.openxmlformats.org/officeDocument/2006/relationships/hyperlink" Target="http://www.reers.ba/node/4584" TargetMode="External"/><Relationship Id="rId1" Type="http://schemas.openxmlformats.org/officeDocument/2006/relationships/hyperlink" Target="http://www.reers.ba/node/4377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AF69"/>
  <sheetViews>
    <sheetView tabSelected="1" view="pageBreakPreview" topLeftCell="A4" zoomScaleNormal="100" zoomScaleSheetLayoutView="100" workbookViewId="0">
      <selection activeCell="K44" sqref="K44"/>
    </sheetView>
  </sheetViews>
  <sheetFormatPr defaultRowHeight="12.75" x14ac:dyDescent="0.2"/>
  <cols>
    <col min="1" max="1" width="5.5703125" customWidth="1"/>
    <col min="2" max="2" width="7.85546875" bestFit="1" customWidth="1"/>
    <col min="3" max="3" width="29.42578125" customWidth="1"/>
    <col min="4" max="4" width="19.85546875" customWidth="1"/>
    <col min="5" max="5" width="16.5703125" bestFit="1" customWidth="1"/>
    <col min="6" max="6" width="13.85546875" customWidth="1"/>
    <col min="7" max="7" width="14.140625" customWidth="1"/>
    <col min="8" max="8" width="17.5703125" customWidth="1"/>
    <col min="9" max="9" width="15.5703125" customWidth="1"/>
    <col min="10" max="10" width="14.42578125" customWidth="1"/>
    <col min="11" max="11" width="16.5703125" customWidth="1"/>
    <col min="12" max="12" width="13.85546875" customWidth="1"/>
    <col min="13" max="13" width="15.28515625" customWidth="1"/>
    <col min="14" max="14" width="8.42578125" customWidth="1"/>
  </cols>
  <sheetData>
    <row r="1" spans="2:32" ht="13.5" thickBot="1" x14ac:dyDescent="0.25"/>
    <row r="2" spans="2:32" ht="24" customHeight="1" thickBot="1" x14ac:dyDescent="0.25">
      <c r="B2" s="530" t="s">
        <v>313</v>
      </c>
      <c r="C2" s="531"/>
      <c r="D2" s="531"/>
      <c r="E2" s="531"/>
      <c r="F2" s="531"/>
      <c r="G2" s="531"/>
      <c r="H2" s="531"/>
      <c r="I2" s="531"/>
      <c r="J2" s="531"/>
      <c r="K2" s="532"/>
      <c r="L2" s="2"/>
      <c r="M2" s="3"/>
      <c r="N2" s="4"/>
    </row>
    <row r="3" spans="2:32" ht="19.5" customHeight="1" x14ac:dyDescent="0.2">
      <c r="B3" s="454" t="s">
        <v>307</v>
      </c>
      <c r="C3" s="472" t="s">
        <v>83</v>
      </c>
      <c r="D3" s="505" t="s">
        <v>0</v>
      </c>
      <c r="E3" s="507" t="s">
        <v>1</v>
      </c>
      <c r="F3" s="456" t="s">
        <v>2</v>
      </c>
      <c r="G3" s="554" t="s">
        <v>3</v>
      </c>
      <c r="H3" s="550" t="s">
        <v>311</v>
      </c>
      <c r="I3" s="551"/>
      <c r="J3" s="533" t="s">
        <v>5</v>
      </c>
      <c r="K3" s="533" t="s">
        <v>249</v>
      </c>
      <c r="M3" s="3"/>
      <c r="N3" s="4"/>
    </row>
    <row r="4" spans="2:32" ht="30.75" customHeight="1" thickBot="1" x14ac:dyDescent="0.25">
      <c r="B4" s="455"/>
      <c r="C4" s="473"/>
      <c r="D4" s="506"/>
      <c r="E4" s="508"/>
      <c r="F4" s="457"/>
      <c r="G4" s="555"/>
      <c r="H4" s="552"/>
      <c r="I4" s="553"/>
      <c r="J4" s="534"/>
      <c r="K4" s="534"/>
      <c r="M4" s="3"/>
      <c r="N4" s="5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18" customHeight="1" x14ac:dyDescent="0.2">
      <c r="B5" s="454" t="s">
        <v>202</v>
      </c>
      <c r="C5" s="478" t="s">
        <v>6</v>
      </c>
      <c r="D5" s="480" t="s">
        <v>7</v>
      </c>
      <c r="E5" s="482" t="s">
        <v>8</v>
      </c>
      <c r="F5" s="484">
        <v>0.41</v>
      </c>
      <c r="G5" s="484">
        <v>1.7470000000000001</v>
      </c>
      <c r="H5" s="516" t="s">
        <v>398</v>
      </c>
      <c r="I5" s="516"/>
      <c r="J5" s="480" t="s">
        <v>9</v>
      </c>
      <c r="K5" s="513" t="s">
        <v>248</v>
      </c>
      <c r="M5" s="3"/>
      <c r="N5" s="5"/>
      <c r="O5" s="3"/>
      <c r="P5" s="3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8" customHeight="1" x14ac:dyDescent="0.2">
      <c r="B6" s="477"/>
      <c r="C6" s="479"/>
      <c r="D6" s="481"/>
      <c r="E6" s="483"/>
      <c r="F6" s="485"/>
      <c r="G6" s="485"/>
      <c r="H6" s="515" t="s">
        <v>402</v>
      </c>
      <c r="I6" s="515"/>
      <c r="J6" s="481"/>
      <c r="K6" s="514"/>
      <c r="M6" s="3"/>
      <c r="N6" s="5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8" customHeight="1" x14ac:dyDescent="0.2">
      <c r="B7" s="524" t="s">
        <v>266</v>
      </c>
      <c r="C7" s="512" t="s">
        <v>6</v>
      </c>
      <c r="D7" s="519" t="s">
        <v>10</v>
      </c>
      <c r="E7" s="483" t="s">
        <v>11</v>
      </c>
      <c r="F7" s="518">
        <f>650/1000</f>
        <v>0.65</v>
      </c>
      <c r="G7" s="518">
        <f>1500000/1000000</f>
        <v>1.5</v>
      </c>
      <c r="H7" s="515" t="s">
        <v>399</v>
      </c>
      <c r="I7" s="515"/>
      <c r="J7" s="519" t="s">
        <v>9</v>
      </c>
      <c r="K7" s="517" t="s">
        <v>102</v>
      </c>
      <c r="M7" s="3"/>
      <c r="N7" s="5"/>
      <c r="O7" s="3"/>
      <c r="P7" s="3"/>
      <c r="Q7" s="3"/>
      <c r="R7" s="3"/>
      <c r="S7" s="3"/>
      <c r="T7" s="3"/>
      <c r="U7" s="3"/>
      <c r="V7" s="3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2" ht="18" customHeight="1" x14ac:dyDescent="0.2">
      <c r="B8" s="477"/>
      <c r="C8" s="512"/>
      <c r="D8" s="519"/>
      <c r="E8" s="483"/>
      <c r="F8" s="518"/>
      <c r="G8" s="518"/>
      <c r="H8" s="515" t="s">
        <v>400</v>
      </c>
      <c r="I8" s="515"/>
      <c r="J8" s="519"/>
      <c r="K8" s="517"/>
      <c r="M8" s="3"/>
      <c r="N8" s="5"/>
      <c r="O8" s="3"/>
      <c r="P8" s="3"/>
      <c r="Q8" s="3"/>
      <c r="R8" s="3"/>
      <c r="S8" s="3"/>
      <c r="T8" s="3"/>
      <c r="U8" s="3"/>
      <c r="V8" s="3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2" ht="43.5" customHeight="1" x14ac:dyDescent="0.2">
      <c r="B9" s="286" t="s">
        <v>267</v>
      </c>
      <c r="C9" s="313" t="s">
        <v>12</v>
      </c>
      <c r="D9" s="282" t="s">
        <v>13</v>
      </c>
      <c r="E9" s="283" t="s">
        <v>14</v>
      </c>
      <c r="F9" s="284">
        <v>0.99199999999999999</v>
      </c>
      <c r="G9" s="284">
        <f>4509000/1000000</f>
        <v>4.5090000000000003</v>
      </c>
      <c r="H9" s="515" t="s">
        <v>15</v>
      </c>
      <c r="I9" s="515"/>
      <c r="J9" s="282" t="s">
        <v>16</v>
      </c>
      <c r="K9" s="285" t="s">
        <v>250</v>
      </c>
      <c r="M9" s="3"/>
      <c r="N9" s="5"/>
      <c r="O9" s="3"/>
      <c r="P9" s="3"/>
      <c r="Q9" s="3"/>
      <c r="R9" s="3"/>
      <c r="S9" s="3"/>
      <c r="T9" s="3"/>
      <c r="U9" s="3"/>
      <c r="V9" s="3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43.5" customHeight="1" x14ac:dyDescent="0.2">
      <c r="B10" s="286" t="s">
        <v>308</v>
      </c>
      <c r="C10" s="313" t="s">
        <v>17</v>
      </c>
      <c r="D10" s="282" t="s">
        <v>18</v>
      </c>
      <c r="E10" s="283" t="s">
        <v>19</v>
      </c>
      <c r="F10" s="284">
        <v>0.78500000000000003</v>
      </c>
      <c r="G10" s="284">
        <v>2.99</v>
      </c>
      <c r="H10" s="515" t="s">
        <v>20</v>
      </c>
      <c r="I10" s="515"/>
      <c r="J10" s="282" t="s">
        <v>16</v>
      </c>
      <c r="K10" s="285" t="s">
        <v>251</v>
      </c>
      <c r="M10" s="3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ht="23.25" customHeight="1" x14ac:dyDescent="0.2">
      <c r="B11" s="524" t="s">
        <v>309</v>
      </c>
      <c r="C11" s="512" t="s">
        <v>6</v>
      </c>
      <c r="D11" s="519" t="s">
        <v>21</v>
      </c>
      <c r="E11" s="483" t="s">
        <v>22</v>
      </c>
      <c r="F11" s="518">
        <v>0.3</v>
      </c>
      <c r="G11" s="518">
        <f>1295000/1000000</f>
        <v>1.2949999999999999</v>
      </c>
      <c r="H11" s="515" t="s">
        <v>396</v>
      </c>
      <c r="I11" s="515"/>
      <c r="J11" s="519" t="s">
        <v>9</v>
      </c>
      <c r="K11" s="517" t="s">
        <v>252</v>
      </c>
      <c r="M11" s="3"/>
      <c r="N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8" customHeight="1" x14ac:dyDescent="0.2">
      <c r="B12" s="477"/>
      <c r="C12" s="512"/>
      <c r="D12" s="519"/>
      <c r="E12" s="483"/>
      <c r="F12" s="518"/>
      <c r="G12" s="518"/>
      <c r="H12" s="520" t="s">
        <v>397</v>
      </c>
      <c r="I12" s="520"/>
      <c r="J12" s="519"/>
      <c r="K12" s="517"/>
      <c r="M12" s="3"/>
      <c r="N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26.25" customHeight="1" x14ac:dyDescent="0.2">
      <c r="B13" s="286" t="s">
        <v>310</v>
      </c>
      <c r="C13" s="313" t="s">
        <v>208</v>
      </c>
      <c r="D13" s="282" t="s">
        <v>207</v>
      </c>
      <c r="E13" s="287" t="s">
        <v>209</v>
      </c>
      <c r="F13" s="284">
        <v>3.2000000000000001E-2</v>
      </c>
      <c r="G13" s="284">
        <v>0.14699999999999999</v>
      </c>
      <c r="H13" s="520" t="s">
        <v>243</v>
      </c>
      <c r="I13" s="520"/>
      <c r="J13" s="282" t="s">
        <v>253</v>
      </c>
      <c r="K13" s="282" t="s">
        <v>298</v>
      </c>
      <c r="M13" s="3"/>
      <c r="N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2:32" ht="26.25" customHeight="1" x14ac:dyDescent="0.2">
      <c r="B14" s="329" t="s">
        <v>318</v>
      </c>
      <c r="C14" s="317" t="s">
        <v>390</v>
      </c>
      <c r="D14" s="317" t="s">
        <v>389</v>
      </c>
      <c r="E14" s="330"/>
      <c r="F14" s="317">
        <v>0.25</v>
      </c>
      <c r="G14" s="319">
        <v>1.35</v>
      </c>
      <c r="H14" s="515" t="s">
        <v>391</v>
      </c>
      <c r="I14" s="515"/>
      <c r="J14" s="317" t="s">
        <v>253</v>
      </c>
      <c r="K14" s="320" t="s">
        <v>525</v>
      </c>
      <c r="M14" s="3"/>
      <c r="N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 ht="26.25" customHeight="1" x14ac:dyDescent="0.2">
      <c r="B15" s="329" t="s">
        <v>319</v>
      </c>
      <c r="C15" s="317" t="s">
        <v>526</v>
      </c>
      <c r="D15" s="317" t="s">
        <v>527</v>
      </c>
      <c r="E15" s="317" t="s">
        <v>528</v>
      </c>
      <c r="F15" s="317">
        <v>0.94</v>
      </c>
      <c r="G15" s="319">
        <v>3.34</v>
      </c>
      <c r="H15" s="515" t="s">
        <v>529</v>
      </c>
      <c r="I15" s="515"/>
      <c r="J15" s="317" t="s">
        <v>253</v>
      </c>
      <c r="K15" s="320"/>
      <c r="M15" s="3"/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26.25" customHeight="1" thickBot="1" x14ac:dyDescent="0.25">
      <c r="B16" s="328" t="s">
        <v>326</v>
      </c>
      <c r="C16" s="99" t="s">
        <v>461</v>
      </c>
      <c r="D16" s="99" t="s">
        <v>33</v>
      </c>
      <c r="E16" s="99" t="s">
        <v>34</v>
      </c>
      <c r="F16" s="99">
        <v>0.25</v>
      </c>
      <c r="G16" s="104">
        <v>0.99570000000000003</v>
      </c>
      <c r="H16" s="527" t="s">
        <v>564</v>
      </c>
      <c r="I16" s="527"/>
      <c r="J16" s="99"/>
      <c r="K16" s="105"/>
      <c r="M16" s="3"/>
      <c r="N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9.5" customHeight="1" thickBot="1" x14ac:dyDescent="0.25">
      <c r="B17" s="327">
        <f>COUNT(F5:F16)</f>
        <v>9</v>
      </c>
      <c r="C17" s="525" t="s">
        <v>169</v>
      </c>
      <c r="D17" s="525"/>
      <c r="E17" s="526"/>
      <c r="F17" s="312">
        <f>SUM(F5:F16)</f>
        <v>4.609</v>
      </c>
      <c r="G17" s="312">
        <f>SUM(G5:G16)</f>
        <v>17.873699999999999</v>
      </c>
      <c r="H17" s="521"/>
      <c r="I17" s="522"/>
      <c r="J17" s="522"/>
      <c r="K17" s="523"/>
      <c r="M17" s="3"/>
      <c r="N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x14ac:dyDescent="0.2">
      <c r="C18" s="9"/>
      <c r="D18" s="9"/>
      <c r="E18" s="9"/>
      <c r="F18" s="10"/>
      <c r="G18" s="315"/>
      <c r="H18" s="11"/>
      <c r="I18" s="11"/>
      <c r="J18" s="12"/>
      <c r="K18" s="13"/>
      <c r="L18" s="9"/>
      <c r="M18" s="14"/>
      <c r="N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4.25" customHeight="1" thickBot="1" x14ac:dyDescent="0.25">
      <c r="C19" s="49"/>
      <c r="D19" s="49"/>
      <c r="E19" s="49"/>
      <c r="F19" s="49"/>
      <c r="G19" s="49"/>
      <c r="H19" s="49"/>
      <c r="I19" s="11"/>
      <c r="J19" s="12"/>
      <c r="K19" s="13"/>
      <c r="L19" s="9"/>
      <c r="M19" s="48"/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2" customHeight="1" x14ac:dyDescent="0.2">
      <c r="B20" s="489" t="s">
        <v>312</v>
      </c>
      <c r="C20" s="490"/>
      <c r="D20" s="490"/>
      <c r="E20" s="490"/>
      <c r="F20" s="490"/>
      <c r="G20" s="490"/>
      <c r="H20" s="490"/>
      <c r="I20" s="490"/>
      <c r="J20" s="490"/>
      <c r="K20" s="491"/>
      <c r="L20" s="9"/>
      <c r="M20" s="48"/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ht="12" customHeight="1" thickBot="1" x14ac:dyDescent="0.25">
      <c r="B21" s="495"/>
      <c r="C21" s="493"/>
      <c r="D21" s="493"/>
      <c r="E21" s="493"/>
      <c r="F21" s="493"/>
      <c r="G21" s="493"/>
      <c r="H21" s="493"/>
      <c r="I21" s="493"/>
      <c r="J21" s="493"/>
      <c r="K21" s="496"/>
      <c r="L21" s="9"/>
      <c r="M21" s="48"/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12.75" customHeight="1" x14ac:dyDescent="0.2">
      <c r="B22" s="497" t="s">
        <v>307</v>
      </c>
      <c r="C22" s="535" t="s">
        <v>23</v>
      </c>
      <c r="D22" s="538" t="s">
        <v>0</v>
      </c>
      <c r="E22" s="538" t="s">
        <v>1</v>
      </c>
      <c r="F22" s="538" t="s">
        <v>44</v>
      </c>
      <c r="G22" s="541" t="s">
        <v>3</v>
      </c>
      <c r="H22" s="499" t="s">
        <v>311</v>
      </c>
      <c r="I22" s="502" t="s">
        <v>25</v>
      </c>
      <c r="J22" s="544" t="s">
        <v>5</v>
      </c>
      <c r="K22" s="547" t="s">
        <v>249</v>
      </c>
      <c r="M22" s="14"/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2:32" x14ac:dyDescent="0.2">
      <c r="B23" s="498"/>
      <c r="C23" s="536"/>
      <c r="D23" s="539"/>
      <c r="E23" s="539"/>
      <c r="F23" s="539"/>
      <c r="G23" s="542"/>
      <c r="H23" s="500"/>
      <c r="I23" s="503"/>
      <c r="J23" s="545"/>
      <c r="K23" s="548"/>
      <c r="M23" s="14"/>
      <c r="N23" s="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2:32" ht="12.75" customHeight="1" x14ac:dyDescent="0.2">
      <c r="B24" s="498"/>
      <c r="C24" s="536"/>
      <c r="D24" s="539"/>
      <c r="E24" s="539"/>
      <c r="F24" s="539"/>
      <c r="G24" s="542"/>
      <c r="H24" s="500"/>
      <c r="I24" s="503"/>
      <c r="J24" s="545"/>
      <c r="K24" s="548"/>
      <c r="M24" s="14"/>
      <c r="N24" s="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2:32" ht="45" customHeight="1" thickBot="1" x14ac:dyDescent="0.25">
      <c r="B25" s="498"/>
      <c r="C25" s="537"/>
      <c r="D25" s="540"/>
      <c r="E25" s="540"/>
      <c r="F25" s="540"/>
      <c r="G25" s="543"/>
      <c r="H25" s="501"/>
      <c r="I25" s="504"/>
      <c r="J25" s="546"/>
      <c r="K25" s="549"/>
      <c r="N25" s="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ht="48.75" thickBot="1" x14ac:dyDescent="0.25">
      <c r="B26" s="219" t="s">
        <v>202</v>
      </c>
      <c r="C26" s="220" t="s">
        <v>26</v>
      </c>
      <c r="D26" s="214" t="s">
        <v>27</v>
      </c>
      <c r="E26" s="214" t="s">
        <v>28</v>
      </c>
      <c r="F26" s="42">
        <v>0.06</v>
      </c>
      <c r="G26" s="214">
        <v>0.25</v>
      </c>
      <c r="H26" s="55" t="s">
        <v>29</v>
      </c>
      <c r="I26" s="214" t="s">
        <v>30</v>
      </c>
      <c r="J26" s="42" t="s">
        <v>253</v>
      </c>
      <c r="K26" s="56" t="s">
        <v>254</v>
      </c>
      <c r="N26" s="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2:32" ht="19.5" customHeight="1" thickBot="1" x14ac:dyDescent="0.25">
      <c r="B27" s="458" t="s">
        <v>169</v>
      </c>
      <c r="C27" s="459"/>
      <c r="D27" s="459"/>
      <c r="E27" s="460"/>
      <c r="F27" s="215">
        <f>SUM(F26)</f>
        <v>0.06</v>
      </c>
      <c r="G27" s="215">
        <f>SUM(G26)</f>
        <v>0.25</v>
      </c>
      <c r="H27" s="216"/>
      <c r="I27" s="216"/>
      <c r="J27" s="217"/>
      <c r="K27" s="218"/>
      <c r="L27" s="9"/>
      <c r="N27" s="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2:32" x14ac:dyDescent="0.2">
      <c r="B28">
        <f>B17+1</f>
        <v>10</v>
      </c>
      <c r="C28" s="9"/>
      <c r="D28" s="9"/>
      <c r="E28" s="9"/>
      <c r="F28" s="10"/>
      <c r="G28" s="9"/>
      <c r="H28" s="11"/>
      <c r="I28" s="11"/>
      <c r="J28" s="12"/>
      <c r="K28" s="13"/>
      <c r="L28" s="9"/>
      <c r="N28" s="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2:32" ht="13.5" thickBot="1" x14ac:dyDescent="0.25">
      <c r="C29" s="9"/>
      <c r="D29" s="9"/>
      <c r="E29" s="9"/>
      <c r="F29" s="314"/>
      <c r="G29" s="315"/>
      <c r="H29" s="11"/>
      <c r="I29" s="11"/>
      <c r="J29" s="12"/>
      <c r="K29" s="13"/>
      <c r="L29" s="9"/>
      <c r="N29" s="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32" ht="12.75" customHeight="1" x14ac:dyDescent="0.2">
      <c r="B30" s="489" t="s">
        <v>314</v>
      </c>
      <c r="C30" s="490"/>
      <c r="D30" s="490"/>
      <c r="E30" s="490"/>
      <c r="F30" s="490"/>
      <c r="G30" s="490"/>
      <c r="H30" s="490"/>
      <c r="I30" s="490"/>
      <c r="J30" s="491"/>
      <c r="K30" s="13"/>
      <c r="L30" s="9"/>
      <c r="N30" s="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2:32" ht="13.5" thickBot="1" x14ac:dyDescent="0.25">
      <c r="B31" s="492"/>
      <c r="C31" s="493"/>
      <c r="D31" s="493"/>
      <c r="E31" s="493"/>
      <c r="F31" s="493"/>
      <c r="G31" s="493"/>
      <c r="H31" s="493"/>
      <c r="I31" s="493"/>
      <c r="J31" s="494"/>
      <c r="K31" s="13"/>
      <c r="L31" s="9"/>
      <c r="N31" s="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2:32" ht="12.75" customHeight="1" x14ac:dyDescent="0.2">
      <c r="B32" s="486" t="s">
        <v>307</v>
      </c>
      <c r="C32" s="509" t="s">
        <v>31</v>
      </c>
      <c r="D32" s="456" t="s">
        <v>0</v>
      </c>
      <c r="E32" s="456" t="s">
        <v>256</v>
      </c>
      <c r="F32" s="456" t="s">
        <v>2</v>
      </c>
      <c r="G32" s="456" t="s">
        <v>3</v>
      </c>
      <c r="H32" s="470" t="s">
        <v>4</v>
      </c>
      <c r="I32" s="472" t="s">
        <v>487</v>
      </c>
      <c r="J32" s="461" t="s">
        <v>255</v>
      </c>
      <c r="N32" s="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2:32" ht="21" customHeight="1" x14ac:dyDescent="0.2">
      <c r="B33" s="487"/>
      <c r="C33" s="510"/>
      <c r="D33" s="469"/>
      <c r="E33" s="469"/>
      <c r="F33" s="469"/>
      <c r="G33" s="469"/>
      <c r="H33" s="471"/>
      <c r="I33" s="473"/>
      <c r="J33" s="462"/>
      <c r="N33" s="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2:32" ht="12.75" customHeight="1" x14ac:dyDescent="0.2">
      <c r="B34" s="487"/>
      <c r="C34" s="510"/>
      <c r="D34" s="469"/>
      <c r="E34" s="469"/>
      <c r="F34" s="469"/>
      <c r="G34" s="469"/>
      <c r="H34" s="471"/>
      <c r="I34" s="473"/>
      <c r="J34" s="462"/>
      <c r="N34" s="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2:32" ht="33.75" customHeight="1" thickBot="1" x14ac:dyDescent="0.25">
      <c r="B35" s="488"/>
      <c r="C35" s="511"/>
      <c r="D35" s="457"/>
      <c r="E35" s="457"/>
      <c r="F35" s="457"/>
      <c r="G35" s="457"/>
      <c r="H35" s="471"/>
      <c r="I35" s="473"/>
      <c r="J35" s="463"/>
      <c r="K35" s="1"/>
      <c r="N35" s="8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2:32" ht="29.25" customHeight="1" x14ac:dyDescent="0.2">
      <c r="B36" s="437" t="s">
        <v>202</v>
      </c>
      <c r="C36" s="434" t="s">
        <v>461</v>
      </c>
      <c r="D36" s="363" t="s">
        <v>33</v>
      </c>
      <c r="E36" s="363" t="s">
        <v>34</v>
      </c>
      <c r="F36" s="363">
        <f>220/1000</f>
        <v>0.22</v>
      </c>
      <c r="G36" s="364">
        <v>0.99470000000000003</v>
      </c>
      <c r="H36" s="365" t="s">
        <v>483</v>
      </c>
      <c r="I36" s="528" t="s">
        <v>566</v>
      </c>
      <c r="J36" s="529"/>
      <c r="K36" s="413"/>
      <c r="N36" s="8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2:32" ht="29.25" customHeight="1" x14ac:dyDescent="0.2">
      <c r="B37" s="438" t="s">
        <v>266</v>
      </c>
      <c r="C37" s="415" t="s">
        <v>56</v>
      </c>
      <c r="D37" s="419" t="s">
        <v>563</v>
      </c>
      <c r="E37" s="419" t="s">
        <v>282</v>
      </c>
      <c r="F37" s="419">
        <v>0.95</v>
      </c>
      <c r="G37" s="418">
        <v>3.77</v>
      </c>
      <c r="H37" s="416" t="s">
        <v>283</v>
      </c>
      <c r="I37" s="422" t="s">
        <v>589</v>
      </c>
      <c r="J37" s="417" t="s">
        <v>462</v>
      </c>
      <c r="K37" s="413"/>
      <c r="N37" s="8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2:32" ht="29.25" customHeight="1" x14ac:dyDescent="0.2">
      <c r="B38" s="438" t="s">
        <v>267</v>
      </c>
      <c r="C38" s="415" t="s">
        <v>35</v>
      </c>
      <c r="D38" s="419" t="s">
        <v>36</v>
      </c>
      <c r="E38" s="419" t="s">
        <v>37</v>
      </c>
      <c r="F38" s="419">
        <v>0.99</v>
      </c>
      <c r="G38" s="418">
        <v>6.5</v>
      </c>
      <c r="H38" s="416" t="s">
        <v>562</v>
      </c>
      <c r="I38" s="419" t="s">
        <v>567</v>
      </c>
      <c r="J38" s="417" t="s">
        <v>463</v>
      </c>
      <c r="K38" s="413"/>
      <c r="N38" s="8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29.25" customHeight="1" x14ac:dyDescent="0.2">
      <c r="B39" s="438" t="s">
        <v>308</v>
      </c>
      <c r="C39" s="415" t="s">
        <v>291</v>
      </c>
      <c r="D39" s="419" t="s">
        <v>292</v>
      </c>
      <c r="E39" s="419" t="s">
        <v>293</v>
      </c>
      <c r="F39" s="420">
        <v>0.25</v>
      </c>
      <c r="G39" s="418">
        <v>0.96530000000000005</v>
      </c>
      <c r="H39" s="421" t="s">
        <v>294</v>
      </c>
      <c r="I39" s="221" t="s">
        <v>477</v>
      </c>
      <c r="J39" s="417" t="s">
        <v>464</v>
      </c>
      <c r="K39" s="413"/>
      <c r="N39" s="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29.25" customHeight="1" x14ac:dyDescent="0.2">
      <c r="B40" s="438" t="s">
        <v>309</v>
      </c>
      <c r="C40" s="415" t="s">
        <v>407</v>
      </c>
      <c r="D40" s="419" t="s">
        <v>296</v>
      </c>
      <c r="E40" s="419" t="s">
        <v>210</v>
      </c>
      <c r="F40" s="419">
        <v>0.105</v>
      </c>
      <c r="G40" s="418">
        <f>829400/1000000</f>
        <v>0.82940000000000003</v>
      </c>
      <c r="H40" s="416" t="s">
        <v>295</v>
      </c>
      <c r="I40" s="422" t="s">
        <v>589</v>
      </c>
      <c r="J40" s="417" t="s">
        <v>465</v>
      </c>
      <c r="K40" s="10"/>
      <c r="N40" s="8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32" ht="29.25" customHeight="1" x14ac:dyDescent="0.2">
      <c r="B41" s="438" t="s">
        <v>310</v>
      </c>
      <c r="C41" s="415" t="s">
        <v>392</v>
      </c>
      <c r="D41" s="419" t="s">
        <v>393</v>
      </c>
      <c r="E41" s="419" t="s">
        <v>394</v>
      </c>
      <c r="F41" s="419">
        <v>0.2</v>
      </c>
      <c r="G41" s="418">
        <v>0.84899999999999998</v>
      </c>
      <c r="H41" s="416" t="s">
        <v>568</v>
      </c>
      <c r="I41" s="419" t="s">
        <v>569</v>
      </c>
      <c r="J41" s="417" t="s">
        <v>466</v>
      </c>
      <c r="K41" s="10"/>
      <c r="N41" s="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2:32" ht="29.25" customHeight="1" x14ac:dyDescent="0.2">
      <c r="B42" s="438" t="s">
        <v>318</v>
      </c>
      <c r="C42" s="435" t="s">
        <v>137</v>
      </c>
      <c r="D42" s="419" t="s">
        <v>435</v>
      </c>
      <c r="E42" s="419" t="s">
        <v>413</v>
      </c>
      <c r="F42" s="419">
        <v>0.23</v>
      </c>
      <c r="G42" s="418">
        <v>1.03</v>
      </c>
      <c r="H42" s="421" t="s">
        <v>415</v>
      </c>
      <c r="I42" s="419" t="s">
        <v>478</v>
      </c>
      <c r="J42" s="417" t="s">
        <v>467</v>
      </c>
      <c r="K42" s="10"/>
      <c r="N42" s="8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ht="36" x14ac:dyDescent="0.2">
      <c r="B43" s="438" t="s">
        <v>488</v>
      </c>
      <c r="C43" s="435" t="s">
        <v>437</v>
      </c>
      <c r="D43" s="419" t="s">
        <v>436</v>
      </c>
      <c r="E43" s="419" t="s">
        <v>438</v>
      </c>
      <c r="F43" s="419">
        <v>0.995</v>
      </c>
      <c r="G43" s="418">
        <v>4.75</v>
      </c>
      <c r="H43" s="421" t="s">
        <v>439</v>
      </c>
      <c r="I43" s="419" t="s">
        <v>479</v>
      </c>
      <c r="J43" s="417" t="s">
        <v>468</v>
      </c>
      <c r="K43" s="244"/>
      <c r="N43" s="8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2:32" ht="29.25" customHeight="1" x14ac:dyDescent="0.2">
      <c r="B44" s="438" t="s">
        <v>326</v>
      </c>
      <c r="C44" s="435" t="s">
        <v>484</v>
      </c>
      <c r="D44" s="419" t="s">
        <v>485</v>
      </c>
      <c r="E44" s="419" t="s">
        <v>486</v>
      </c>
      <c r="F44" s="419">
        <v>0.89</v>
      </c>
      <c r="G44" s="418">
        <v>2.395</v>
      </c>
      <c r="H44" s="421" t="s">
        <v>570</v>
      </c>
      <c r="I44" s="419" t="s">
        <v>476</v>
      </c>
      <c r="J44" s="417" t="s">
        <v>476</v>
      </c>
      <c r="K44" s="1"/>
      <c r="N44" s="8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2:32" ht="29.25" customHeight="1" x14ac:dyDescent="0.2">
      <c r="B45" s="438" t="s">
        <v>327</v>
      </c>
      <c r="C45" s="435" t="s">
        <v>579</v>
      </c>
      <c r="D45" s="419" t="s">
        <v>565</v>
      </c>
      <c r="E45" s="419" t="s">
        <v>580</v>
      </c>
      <c r="F45" s="419">
        <v>0.249</v>
      </c>
      <c r="G45" s="418">
        <v>1.4895</v>
      </c>
      <c r="H45" s="421" t="s">
        <v>576</v>
      </c>
      <c r="I45" s="221" t="s">
        <v>577</v>
      </c>
      <c r="J45" s="382" t="s">
        <v>577</v>
      </c>
      <c r="K45" s="1"/>
      <c r="N45" s="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2:32" ht="33.75" x14ac:dyDescent="0.2">
      <c r="B46" s="438" t="s">
        <v>328</v>
      </c>
      <c r="C46" s="435" t="s">
        <v>531</v>
      </c>
      <c r="D46" s="419" t="s">
        <v>532</v>
      </c>
      <c r="E46" s="419" t="s">
        <v>533</v>
      </c>
      <c r="F46" s="419">
        <v>0.85</v>
      </c>
      <c r="G46" s="418">
        <v>3.52</v>
      </c>
      <c r="H46" s="421" t="s">
        <v>530</v>
      </c>
      <c r="I46" s="414" t="s">
        <v>582</v>
      </c>
      <c r="J46" s="417" t="s">
        <v>534</v>
      </c>
      <c r="K46" s="1"/>
      <c r="N46" s="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2:32" ht="29.25" customHeight="1" x14ac:dyDescent="0.2">
      <c r="B47" s="438" t="s">
        <v>329</v>
      </c>
      <c r="C47" s="435" t="s">
        <v>545</v>
      </c>
      <c r="D47" s="419" t="s">
        <v>546</v>
      </c>
      <c r="E47" s="419" t="s">
        <v>547</v>
      </c>
      <c r="F47" s="419">
        <v>0.25</v>
      </c>
      <c r="G47" s="418">
        <v>1.0349999999999999</v>
      </c>
      <c r="H47" s="421" t="s">
        <v>548</v>
      </c>
      <c r="I47" s="419" t="s">
        <v>549</v>
      </c>
      <c r="J47" s="417" t="s">
        <v>549</v>
      </c>
      <c r="K47" s="1"/>
      <c r="N47" s="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2:32" ht="29.25" customHeight="1" x14ac:dyDescent="0.2">
      <c r="B48" s="438" t="s">
        <v>330</v>
      </c>
      <c r="C48" s="435" t="s">
        <v>557</v>
      </c>
      <c r="D48" s="419" t="s">
        <v>558</v>
      </c>
      <c r="E48" s="419" t="s">
        <v>559</v>
      </c>
      <c r="F48" s="419">
        <v>0.25</v>
      </c>
      <c r="G48" s="418">
        <f>901500/1000000</f>
        <v>0.90149999999999997</v>
      </c>
      <c r="H48" s="421" t="s">
        <v>560</v>
      </c>
      <c r="I48" s="419" t="s">
        <v>561</v>
      </c>
      <c r="J48" s="417" t="s">
        <v>561</v>
      </c>
      <c r="K48" s="1"/>
      <c r="N48" s="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2:32" ht="11.25" customHeight="1" x14ac:dyDescent="0.2">
      <c r="B49" s="438"/>
      <c r="C49" s="435"/>
      <c r="D49" s="419"/>
      <c r="E49" s="419"/>
      <c r="F49" s="419"/>
      <c r="G49" s="418"/>
      <c r="H49" s="421"/>
      <c r="I49" s="419"/>
      <c r="J49" s="417"/>
      <c r="K49" s="1"/>
      <c r="N49" s="8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2:32" ht="11.25" customHeight="1" thickBot="1" x14ac:dyDescent="0.25">
      <c r="B50" s="439"/>
      <c r="C50" s="436"/>
      <c r="D50" s="99"/>
      <c r="E50" s="99"/>
      <c r="F50" s="99"/>
      <c r="G50" s="104"/>
      <c r="H50" s="192"/>
      <c r="I50" s="99"/>
      <c r="J50" s="105"/>
      <c r="K50" s="1"/>
      <c r="N50" s="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2:32" ht="19.5" customHeight="1" thickBot="1" x14ac:dyDescent="0.25">
      <c r="B51" s="336">
        <f>COUNT(F41:F50)+COUNT(F38:F39)</f>
        <v>10</v>
      </c>
      <c r="C51" s="474" t="s">
        <v>195</v>
      </c>
      <c r="D51" s="475"/>
      <c r="E51" s="476"/>
      <c r="F51" s="337">
        <f>SUM(F38:F50)-F40</f>
        <v>5.1539999999999999</v>
      </c>
      <c r="G51" s="338">
        <f>SUM(G38:G50)-G40</f>
        <v>23.435299999999998</v>
      </c>
      <c r="H51" s="466"/>
      <c r="I51" s="467"/>
      <c r="J51" s="468"/>
      <c r="K51" s="59"/>
      <c r="N51" s="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2:32" ht="19.5" customHeight="1" x14ac:dyDescent="0.2">
      <c r="B52" s="309"/>
      <c r="C52" s="309"/>
      <c r="D52" s="309"/>
      <c r="E52" s="309"/>
      <c r="F52" s="309"/>
      <c r="G52" s="310"/>
      <c r="H52" s="311"/>
      <c r="I52" s="311"/>
      <c r="J52" s="311"/>
      <c r="K52" s="59"/>
      <c r="N52" s="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2" ht="19.5" customHeight="1" x14ac:dyDescent="0.2">
      <c r="B53" s="309"/>
      <c r="C53" s="309"/>
      <c r="D53" s="309"/>
      <c r="E53" s="309"/>
      <c r="F53" s="309"/>
      <c r="G53" s="310"/>
      <c r="H53" s="311"/>
      <c r="I53" s="311"/>
      <c r="J53" s="366"/>
      <c r="K53" s="59"/>
      <c r="N53" s="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ht="13.5" thickBot="1" x14ac:dyDescent="0.25">
      <c r="B54" s="309">
        <f>B51+B28</f>
        <v>20</v>
      </c>
      <c r="C54" s="9"/>
      <c r="D54" s="9"/>
      <c r="E54" s="9"/>
      <c r="F54" s="10"/>
      <c r="G54" s="9"/>
      <c r="H54" s="11"/>
      <c r="I54" s="11"/>
      <c r="J54" s="12"/>
      <c r="K54" s="13"/>
      <c r="L54" s="9"/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x14ac:dyDescent="0.2">
      <c r="B55" s="440" t="s">
        <v>315</v>
      </c>
      <c r="C55" s="441"/>
      <c r="D55" s="441"/>
      <c r="E55" s="441"/>
      <c r="F55" s="441"/>
      <c r="G55" s="441"/>
      <c r="H55" s="442"/>
      <c r="I55" s="369"/>
      <c r="J55" s="12"/>
      <c r="K55" s="13"/>
      <c r="L55" s="9"/>
      <c r="N55" s="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2:32" ht="13.5" thickBot="1" x14ac:dyDescent="0.25">
      <c r="B56" s="443"/>
      <c r="C56" s="444"/>
      <c r="D56" s="444"/>
      <c r="E56" s="444"/>
      <c r="F56" s="444"/>
      <c r="G56" s="444"/>
      <c r="H56" s="445"/>
      <c r="I56" s="369"/>
      <c r="J56" s="1"/>
    </row>
    <row r="57" spans="2:32" ht="19.5" customHeight="1" x14ac:dyDescent="0.2">
      <c r="B57" s="227" t="s">
        <v>307</v>
      </c>
      <c r="C57" s="448" t="s">
        <v>357</v>
      </c>
      <c r="D57" s="449"/>
      <c r="E57" s="350" t="s">
        <v>40</v>
      </c>
      <c r="F57" s="350" t="s">
        <v>41</v>
      </c>
      <c r="G57" s="370" t="s">
        <v>42</v>
      </c>
      <c r="H57" s="350" t="s">
        <v>43</v>
      </c>
      <c r="J57" s="43"/>
      <c r="K57" s="118"/>
    </row>
    <row r="58" spans="2:32" ht="25.5" customHeight="1" x14ac:dyDescent="0.2">
      <c r="B58" s="224" t="s">
        <v>202</v>
      </c>
      <c r="C58" s="452" t="s">
        <v>471</v>
      </c>
      <c r="D58" s="453"/>
      <c r="E58" s="228">
        <v>43.2</v>
      </c>
      <c r="F58" s="228">
        <v>53.78</v>
      </c>
      <c r="G58" s="228">
        <v>67.2</v>
      </c>
      <c r="H58" s="228">
        <v>80.5</v>
      </c>
      <c r="J58" s="15"/>
      <c r="K58" s="367"/>
    </row>
    <row r="59" spans="2:32" ht="25.5" customHeight="1" x14ac:dyDescent="0.2">
      <c r="B59" s="223" t="s">
        <v>266</v>
      </c>
      <c r="C59" s="450" t="s">
        <v>469</v>
      </c>
      <c r="D59" s="451"/>
      <c r="E59" s="229">
        <f>G17+G27</f>
        <v>18.123699999999999</v>
      </c>
      <c r="F59" s="229">
        <f>G26+G17</f>
        <v>18.123699999999999</v>
      </c>
      <c r="G59" s="229">
        <f>F59</f>
        <v>18.123699999999999</v>
      </c>
      <c r="H59" s="229">
        <f>G59</f>
        <v>18.123699999999999</v>
      </c>
      <c r="J59" s="43"/>
      <c r="K59" s="368"/>
    </row>
    <row r="60" spans="2:32" ht="25.5" customHeight="1" x14ac:dyDescent="0.2">
      <c r="B60" s="224" t="s">
        <v>267</v>
      </c>
      <c r="C60" s="464" t="s">
        <v>470</v>
      </c>
      <c r="D60" s="465"/>
      <c r="E60" s="226">
        <f>G38+G41+G42+G43+G44+G46+G47</f>
        <v>20.079000000000001</v>
      </c>
      <c r="F60" s="226">
        <f>G38+G39+G41+G42+G43+G44+G45+G46+G47+G48</f>
        <v>23.435299999999998</v>
      </c>
      <c r="G60" s="226">
        <f>F60</f>
        <v>23.435299999999998</v>
      </c>
      <c r="H60" s="226">
        <f>F60</f>
        <v>23.435299999999998</v>
      </c>
      <c r="J60" s="15"/>
      <c r="K60" s="367"/>
    </row>
    <row r="61" spans="2:32" ht="25.5" customHeight="1" x14ac:dyDescent="0.2">
      <c r="B61" s="223" t="s">
        <v>308</v>
      </c>
      <c r="C61" s="450" t="s">
        <v>472</v>
      </c>
      <c r="D61" s="451"/>
      <c r="E61" s="229">
        <f>SUM(E59:E60)</f>
        <v>38.2027</v>
      </c>
      <c r="F61" s="229">
        <f>SUM(F59:F60)</f>
        <v>41.558999999999997</v>
      </c>
      <c r="G61" s="229">
        <f t="shared" ref="G61" si="0">SUM(G59:G60)</f>
        <v>41.558999999999997</v>
      </c>
      <c r="H61" s="229">
        <f>SUM(H59:H60)</f>
        <v>41.558999999999997</v>
      </c>
      <c r="J61" s="15"/>
      <c r="K61" s="367"/>
    </row>
    <row r="62" spans="2:32" ht="25.5" customHeight="1" thickBot="1" x14ac:dyDescent="0.25">
      <c r="B62" s="225" t="s">
        <v>309</v>
      </c>
      <c r="C62" s="446" t="s">
        <v>473</v>
      </c>
      <c r="D62" s="447"/>
      <c r="E62" s="230">
        <f>E58-E61</f>
        <v>4.9973000000000027</v>
      </c>
      <c r="F62" s="230">
        <f>F58-F61</f>
        <v>12.221000000000004</v>
      </c>
      <c r="G62" s="230">
        <f>G58-G61</f>
        <v>25.641000000000005</v>
      </c>
      <c r="H62" s="231">
        <f>H58-H61</f>
        <v>38.941000000000003</v>
      </c>
      <c r="K62" s="367"/>
    </row>
    <row r="63" spans="2:32" x14ac:dyDescent="0.2">
      <c r="C63" s="25"/>
      <c r="D63" s="1"/>
      <c r="E63" s="1"/>
      <c r="F63" s="335"/>
      <c r="G63" s="1"/>
      <c r="H63" s="1"/>
      <c r="I63" s="1"/>
      <c r="K63" s="43"/>
    </row>
    <row r="64" spans="2:32" x14ac:dyDescent="0.2">
      <c r="C64" s="1"/>
      <c r="E64" s="243"/>
      <c r="F64" s="243"/>
      <c r="G64" s="243"/>
      <c r="H64" s="243"/>
      <c r="I64" s="1"/>
    </row>
    <row r="65" spans="3:9" x14ac:dyDescent="0.2">
      <c r="C65" s="1"/>
    </row>
    <row r="68" spans="3:9" x14ac:dyDescent="0.2">
      <c r="E68" s="15"/>
      <c r="F68" s="15"/>
      <c r="G68" s="15"/>
      <c r="I68" s="15"/>
    </row>
    <row r="69" spans="3:9" x14ac:dyDescent="0.2">
      <c r="F69" s="15"/>
    </row>
  </sheetData>
  <mergeCells count="80">
    <mergeCell ref="I36:J36"/>
    <mergeCell ref="B2:K2"/>
    <mergeCell ref="J3:J4"/>
    <mergeCell ref="K3:K4"/>
    <mergeCell ref="C22:C25"/>
    <mergeCell ref="D22:D25"/>
    <mergeCell ref="E22:E25"/>
    <mergeCell ref="F22:F25"/>
    <mergeCell ref="G22:G25"/>
    <mergeCell ref="J22:J25"/>
    <mergeCell ref="K22:K25"/>
    <mergeCell ref="H10:I10"/>
    <mergeCell ref="H11:I11"/>
    <mergeCell ref="H3:I4"/>
    <mergeCell ref="G3:G4"/>
    <mergeCell ref="H13:I13"/>
    <mergeCell ref="H17:K17"/>
    <mergeCell ref="B7:B8"/>
    <mergeCell ref="C7:C8"/>
    <mergeCell ref="D7:D8"/>
    <mergeCell ref="E7:E8"/>
    <mergeCell ref="B11:B12"/>
    <mergeCell ref="D11:D12"/>
    <mergeCell ref="E11:E12"/>
    <mergeCell ref="F7:F8"/>
    <mergeCell ref="F11:F12"/>
    <mergeCell ref="C17:E17"/>
    <mergeCell ref="H15:I15"/>
    <mergeCell ref="H16:I16"/>
    <mergeCell ref="G5:G6"/>
    <mergeCell ref="J5:J6"/>
    <mergeCell ref="K5:K6"/>
    <mergeCell ref="H6:I6"/>
    <mergeCell ref="H14:I14"/>
    <mergeCell ref="H8:I8"/>
    <mergeCell ref="H5:I5"/>
    <mergeCell ref="H7:I7"/>
    <mergeCell ref="K7:K8"/>
    <mergeCell ref="G7:G8"/>
    <mergeCell ref="J7:J8"/>
    <mergeCell ref="J11:J12"/>
    <mergeCell ref="K11:K12"/>
    <mergeCell ref="G11:G12"/>
    <mergeCell ref="H9:I9"/>
    <mergeCell ref="H12:I12"/>
    <mergeCell ref="C3:C4"/>
    <mergeCell ref="D3:D4"/>
    <mergeCell ref="E3:E4"/>
    <mergeCell ref="C32:C35"/>
    <mergeCell ref="D32:D35"/>
    <mergeCell ref="E32:E35"/>
    <mergeCell ref="C11:C12"/>
    <mergeCell ref="B32:B35"/>
    <mergeCell ref="B30:J31"/>
    <mergeCell ref="B20:K21"/>
    <mergeCell ref="B22:B25"/>
    <mergeCell ref="H22:H25"/>
    <mergeCell ref="I22:I25"/>
    <mergeCell ref="B3:B4"/>
    <mergeCell ref="F3:F4"/>
    <mergeCell ref="B27:E27"/>
    <mergeCell ref="J32:J35"/>
    <mergeCell ref="C60:D60"/>
    <mergeCell ref="H51:J51"/>
    <mergeCell ref="F32:F35"/>
    <mergeCell ref="G32:G35"/>
    <mergeCell ref="H32:H35"/>
    <mergeCell ref="I32:I35"/>
    <mergeCell ref="C51:E51"/>
    <mergeCell ref="B5:B6"/>
    <mergeCell ref="C5:C6"/>
    <mergeCell ref="D5:D6"/>
    <mergeCell ref="E5:E6"/>
    <mergeCell ref="F5:F6"/>
    <mergeCell ref="B55:H56"/>
    <mergeCell ref="C62:D62"/>
    <mergeCell ref="C57:D57"/>
    <mergeCell ref="C61:D61"/>
    <mergeCell ref="C58:D58"/>
    <mergeCell ref="C59:D59"/>
  </mergeCells>
  <hyperlinks>
    <hyperlink ref="H5" r:id="rId1"/>
    <hyperlink ref="H7" r:id="rId2"/>
    <hyperlink ref="H9" r:id="rId3"/>
    <hyperlink ref="H10" r:id="rId4"/>
    <hyperlink ref="H11" r:id="rId5" display="http://www.reers.ba/node/3426"/>
    <hyperlink ref="H13" r:id="rId6" display="http://www.reers.ba/node/4039"/>
    <hyperlink ref="H40" r:id="rId7"/>
    <hyperlink ref="H39" r:id="rId8"/>
    <hyperlink ref="H37" r:id="rId9"/>
    <hyperlink ref="H36" r:id="rId10"/>
    <hyperlink ref="H41" r:id="rId11"/>
    <hyperlink ref="H11:I11" r:id="rId12" display="01-323-10/15/Р-110-120"/>
    <hyperlink ref="H12:I12" r:id="rId13" display="01-323-13/15/Р-27-298"/>
    <hyperlink ref="H5:I5" r:id="rId14" display="01-102-11/13/Р-58-21"/>
    <hyperlink ref="H7:I7" r:id="rId15" display="01-153-10/14/Р-82-103"/>
    <hyperlink ref="H8:I8" r:id="rId16" display="01-153-13/14/Р-27-296"/>
    <hyperlink ref="H6:I6" r:id="rId17" display="01-102-16/13/Р-27-297"/>
    <hyperlink ref="H42" r:id="rId18"/>
    <hyperlink ref="H43" r:id="rId19"/>
    <hyperlink ref="H44" r:id="rId20"/>
    <hyperlink ref="H38" r:id="rId21"/>
    <hyperlink ref="H14" r:id="rId22"/>
    <hyperlink ref="H15:I15" r:id="rId23" display="01-175-10/17/Р-46-112"/>
    <hyperlink ref="H46" r:id="rId24"/>
    <hyperlink ref="H47" r:id="rId25"/>
    <hyperlink ref="H48" r:id="rId26"/>
    <hyperlink ref="H16:I16" r:id="rId27" display="01-372-6/17/Р-53-190"/>
    <hyperlink ref="H45" r:id="rId28"/>
  </hyperlinks>
  <pageMargins left="0.70866141732283472" right="0.70866141732283472" top="0.35433070866141736" bottom="0.35433070866141736" header="0.31496062992125984" footer="0.31496062992125984"/>
  <pageSetup paperSize="9" scale="72" orientation="landscape" r:id="rId29"/>
  <headerFooter alignWithMargins="0"/>
  <rowBreaks count="1" manualBreakCount="1">
    <brk id="28" max="10" man="1"/>
  </rowBreaks>
  <colBreaks count="1" manualBreakCount="1">
    <brk id="11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58"/>
  <sheetViews>
    <sheetView topLeftCell="A7" zoomScaleNormal="100" zoomScaleSheetLayoutView="100" workbookViewId="0">
      <selection activeCell="G13" sqref="G13:H13"/>
    </sheetView>
  </sheetViews>
  <sheetFormatPr defaultRowHeight="12.75" x14ac:dyDescent="0.2"/>
  <cols>
    <col min="1" max="1" width="6" customWidth="1"/>
    <col min="2" max="2" width="51.42578125" customWidth="1"/>
    <col min="3" max="3" width="19.28515625" customWidth="1"/>
    <col min="4" max="4" width="19.5703125" customWidth="1"/>
    <col min="5" max="5" width="13" customWidth="1"/>
    <col min="6" max="6" width="15.85546875" customWidth="1"/>
    <col min="7" max="7" width="16.85546875" customWidth="1"/>
    <col min="8" max="8" width="13.140625" customWidth="1"/>
    <col min="9" max="9" width="13.5703125" customWidth="1"/>
    <col min="10" max="10" width="15.85546875" customWidth="1"/>
    <col min="11" max="11" width="14.85546875" customWidth="1"/>
  </cols>
  <sheetData>
    <row r="1" spans="1:10" ht="13.5" thickBot="1" x14ac:dyDescent="0.25"/>
    <row r="2" spans="1:10" ht="13.5" customHeight="1" x14ac:dyDescent="0.2">
      <c r="A2" s="606" t="s">
        <v>324</v>
      </c>
      <c r="B2" s="607"/>
      <c r="C2" s="607"/>
      <c r="D2" s="607"/>
      <c r="E2" s="607"/>
      <c r="F2" s="607"/>
      <c r="G2" s="607"/>
      <c r="H2" s="607"/>
      <c r="I2" s="607"/>
      <c r="J2" s="608"/>
    </row>
    <row r="3" spans="1:10" ht="13.5" customHeight="1" thickBot="1" x14ac:dyDescent="0.25">
      <c r="A3" s="609"/>
      <c r="B3" s="610"/>
      <c r="C3" s="610"/>
      <c r="D3" s="610"/>
      <c r="E3" s="610"/>
      <c r="F3" s="610"/>
      <c r="G3" s="610"/>
      <c r="H3" s="610"/>
      <c r="I3" s="610"/>
      <c r="J3" s="611"/>
    </row>
    <row r="4" spans="1:10" ht="53.25" customHeight="1" x14ac:dyDescent="0.2">
      <c r="A4" s="57" t="s">
        <v>307</v>
      </c>
      <c r="B4" s="103" t="s">
        <v>83</v>
      </c>
      <c r="C4" s="100" t="s">
        <v>0</v>
      </c>
      <c r="D4" s="100" t="s">
        <v>1</v>
      </c>
      <c r="E4" s="100" t="s">
        <v>44</v>
      </c>
      <c r="F4" s="100" t="s">
        <v>3</v>
      </c>
      <c r="G4" s="618" t="s">
        <v>311</v>
      </c>
      <c r="H4" s="619"/>
      <c r="I4" s="100" t="s">
        <v>5</v>
      </c>
      <c r="J4" s="101" t="s">
        <v>249</v>
      </c>
    </row>
    <row r="5" spans="1:10" ht="18.75" customHeight="1" x14ac:dyDescent="0.2">
      <c r="A5" s="569" t="s">
        <v>202</v>
      </c>
      <c r="B5" s="556" t="s">
        <v>45</v>
      </c>
      <c r="C5" s="556" t="s">
        <v>46</v>
      </c>
      <c r="D5" s="571" t="s">
        <v>47</v>
      </c>
      <c r="E5" s="572">
        <v>3.93</v>
      </c>
      <c r="F5" s="572">
        <f>6.998278</f>
        <v>6.998278</v>
      </c>
      <c r="G5" s="515" t="s">
        <v>405</v>
      </c>
      <c r="H5" s="515"/>
      <c r="I5" s="556" t="s">
        <v>38</v>
      </c>
      <c r="J5" s="556" t="s">
        <v>257</v>
      </c>
    </row>
    <row r="6" spans="1:10" ht="18.75" customHeight="1" x14ac:dyDescent="0.2">
      <c r="A6" s="570"/>
      <c r="B6" s="556"/>
      <c r="C6" s="556"/>
      <c r="D6" s="571"/>
      <c r="E6" s="572"/>
      <c r="F6" s="572"/>
      <c r="G6" s="515" t="s">
        <v>404</v>
      </c>
      <c r="H6" s="515"/>
      <c r="I6" s="556"/>
      <c r="J6" s="556"/>
    </row>
    <row r="7" spans="1:10" ht="18.75" customHeight="1" x14ac:dyDescent="0.2">
      <c r="A7" s="569" t="s">
        <v>266</v>
      </c>
      <c r="B7" s="556" t="s">
        <v>48</v>
      </c>
      <c r="C7" s="556" t="s">
        <v>49</v>
      </c>
      <c r="D7" s="571" t="s">
        <v>50</v>
      </c>
      <c r="E7" s="572">
        <v>2.2831999999999999</v>
      </c>
      <c r="F7" s="572">
        <v>4.4290149999999997</v>
      </c>
      <c r="G7" s="515" t="s">
        <v>51</v>
      </c>
      <c r="H7" s="515"/>
      <c r="I7" s="556" t="s">
        <v>16</v>
      </c>
      <c r="J7" s="556" t="s">
        <v>258</v>
      </c>
    </row>
    <row r="8" spans="1:10" ht="18.75" customHeight="1" x14ac:dyDescent="0.2">
      <c r="A8" s="570"/>
      <c r="B8" s="556"/>
      <c r="C8" s="556"/>
      <c r="D8" s="571"/>
      <c r="E8" s="572"/>
      <c r="F8" s="572"/>
      <c r="G8" s="515" t="s">
        <v>403</v>
      </c>
      <c r="H8" s="515"/>
      <c r="I8" s="556"/>
      <c r="J8" s="556"/>
    </row>
    <row r="9" spans="1:10" ht="18.75" customHeight="1" x14ac:dyDescent="0.2">
      <c r="A9" s="569" t="s">
        <v>267</v>
      </c>
      <c r="B9" s="556" t="s">
        <v>52</v>
      </c>
      <c r="C9" s="582" t="s">
        <v>53</v>
      </c>
      <c r="D9" s="571" t="s">
        <v>54</v>
      </c>
      <c r="E9" s="572">
        <v>3.0289999999999999</v>
      </c>
      <c r="F9" s="572">
        <f>5.634768</f>
        <v>5.6347680000000002</v>
      </c>
      <c r="G9" s="515" t="s">
        <v>55</v>
      </c>
      <c r="H9" s="515"/>
      <c r="I9" s="556" t="s">
        <v>16</v>
      </c>
      <c r="J9" s="556" t="s">
        <v>259</v>
      </c>
    </row>
    <row r="10" spans="1:10" ht="18.75" customHeight="1" x14ac:dyDescent="0.2">
      <c r="A10" s="570"/>
      <c r="B10" s="556"/>
      <c r="C10" s="582"/>
      <c r="D10" s="571"/>
      <c r="E10" s="572"/>
      <c r="F10" s="572"/>
      <c r="G10" s="515" t="s">
        <v>406</v>
      </c>
      <c r="H10" s="515"/>
      <c r="I10" s="556"/>
      <c r="J10" s="556"/>
    </row>
    <row r="11" spans="1:10" ht="29.25" customHeight="1" x14ac:dyDescent="0.2">
      <c r="A11" s="102" t="s">
        <v>308</v>
      </c>
      <c r="B11" s="151" t="s">
        <v>59</v>
      </c>
      <c r="C11" s="151" t="s">
        <v>60</v>
      </c>
      <c r="D11" s="106" t="s">
        <v>61</v>
      </c>
      <c r="E11" s="146">
        <v>5.77</v>
      </c>
      <c r="F11" s="147">
        <v>18.5</v>
      </c>
      <c r="G11" s="615" t="s">
        <v>62</v>
      </c>
      <c r="H11" s="615"/>
      <c r="I11" s="151" t="s">
        <v>16</v>
      </c>
      <c r="J11" s="152" t="s">
        <v>248</v>
      </c>
    </row>
    <row r="12" spans="1:10" ht="18" customHeight="1" x14ac:dyDescent="0.2">
      <c r="A12" s="557"/>
      <c r="B12" s="559" t="s">
        <v>56</v>
      </c>
      <c r="C12" s="559" t="s">
        <v>57</v>
      </c>
      <c r="D12" s="561" t="s">
        <v>58</v>
      </c>
      <c r="E12" s="563">
        <v>4.95</v>
      </c>
      <c r="F12" s="563">
        <v>0</v>
      </c>
      <c r="G12" s="616" t="s">
        <v>417</v>
      </c>
      <c r="H12" s="616"/>
      <c r="I12" s="559" t="s">
        <v>16</v>
      </c>
      <c r="J12" s="567" t="s">
        <v>218</v>
      </c>
    </row>
    <row r="13" spans="1:10" ht="27" customHeight="1" x14ac:dyDescent="0.2">
      <c r="A13" s="558"/>
      <c r="B13" s="560"/>
      <c r="C13" s="560"/>
      <c r="D13" s="562"/>
      <c r="E13" s="564"/>
      <c r="F13" s="564"/>
      <c r="G13" s="565" t="s">
        <v>590</v>
      </c>
      <c r="H13" s="566"/>
      <c r="I13" s="560"/>
      <c r="J13" s="568"/>
    </row>
    <row r="14" spans="1:10" ht="29.25" customHeight="1" x14ac:dyDescent="0.2">
      <c r="A14" s="102" t="s">
        <v>309</v>
      </c>
      <c r="B14" s="233" t="s">
        <v>63</v>
      </c>
      <c r="C14" s="233" t="s">
        <v>64</v>
      </c>
      <c r="D14" s="36" t="s">
        <v>65</v>
      </c>
      <c r="E14" s="129">
        <v>6.9</v>
      </c>
      <c r="F14" s="129">
        <f>34.948896</f>
        <v>34.948895999999998</v>
      </c>
      <c r="G14" s="615" t="s">
        <v>418</v>
      </c>
      <c r="H14" s="615"/>
      <c r="I14" s="233" t="s">
        <v>66</v>
      </c>
      <c r="J14" s="152" t="s">
        <v>260</v>
      </c>
    </row>
    <row r="15" spans="1:10" ht="29.25" customHeight="1" x14ac:dyDescent="0.2">
      <c r="A15" s="102" t="s">
        <v>310</v>
      </c>
      <c r="B15" s="151" t="s">
        <v>59</v>
      </c>
      <c r="C15" s="151" t="s">
        <v>68</v>
      </c>
      <c r="D15" s="106" t="s">
        <v>69</v>
      </c>
      <c r="E15" s="146">
        <v>3.8769999999999998</v>
      </c>
      <c r="F15" s="129">
        <v>14.9</v>
      </c>
      <c r="G15" s="617" t="s">
        <v>419</v>
      </c>
      <c r="H15" s="617"/>
      <c r="I15" s="151" t="s">
        <v>9</v>
      </c>
      <c r="J15" s="152" t="s">
        <v>238</v>
      </c>
    </row>
    <row r="16" spans="1:10" ht="29.25" customHeight="1" x14ac:dyDescent="0.2">
      <c r="A16" s="277" t="s">
        <v>318</v>
      </c>
      <c r="B16" s="249" t="s">
        <v>272</v>
      </c>
      <c r="C16" s="249" t="s">
        <v>273</v>
      </c>
      <c r="D16" s="250" t="s">
        <v>71</v>
      </c>
      <c r="E16" s="245">
        <v>4.9000000000000004</v>
      </c>
      <c r="F16" s="248">
        <v>23.957999999999998</v>
      </c>
      <c r="G16" s="591" t="s">
        <v>274</v>
      </c>
      <c r="H16" s="591"/>
      <c r="I16" s="249" t="s">
        <v>72</v>
      </c>
      <c r="J16" s="254" t="s">
        <v>280</v>
      </c>
    </row>
    <row r="17" spans="1:10" ht="29.25" customHeight="1" x14ac:dyDescent="0.2">
      <c r="A17" s="277" t="s">
        <v>319</v>
      </c>
      <c r="B17" s="249" t="s">
        <v>77</v>
      </c>
      <c r="C17" s="249" t="s">
        <v>78</v>
      </c>
      <c r="D17" s="250" t="s">
        <v>79</v>
      </c>
      <c r="E17" s="245">
        <v>2</v>
      </c>
      <c r="F17" s="248">
        <v>8.9873999999999992</v>
      </c>
      <c r="G17" s="591" t="s">
        <v>420</v>
      </c>
      <c r="H17" s="591"/>
      <c r="I17" s="249" t="s">
        <v>38</v>
      </c>
      <c r="J17" s="254" t="s">
        <v>524</v>
      </c>
    </row>
    <row r="18" spans="1:10" ht="29.25" customHeight="1" thickBot="1" x14ac:dyDescent="0.25">
      <c r="A18" s="316" t="s">
        <v>495</v>
      </c>
      <c r="B18" s="317" t="s">
        <v>410</v>
      </c>
      <c r="C18" s="317" t="s">
        <v>411</v>
      </c>
      <c r="D18" s="242" t="s">
        <v>412</v>
      </c>
      <c r="E18" s="245">
        <v>4.9800000000000004</v>
      </c>
      <c r="F18" s="248">
        <v>22.448978</v>
      </c>
      <c r="G18" s="597" t="s">
        <v>523</v>
      </c>
      <c r="H18" s="598"/>
      <c r="I18" s="322" t="s">
        <v>72</v>
      </c>
      <c r="J18" s="254"/>
    </row>
    <row r="19" spans="1:10" ht="21.75" customHeight="1" thickBot="1" x14ac:dyDescent="0.25">
      <c r="A19" s="384">
        <f>COUNT(E5:E18)-1</f>
        <v>9</v>
      </c>
      <c r="B19" s="594" t="s">
        <v>320</v>
      </c>
      <c r="C19" s="595"/>
      <c r="D19" s="596"/>
      <c r="E19" s="276">
        <f>SUM(E5:E18)-E12</f>
        <v>37.669200000000004</v>
      </c>
      <c r="F19" s="276">
        <f>SUM(F5:F18)</f>
        <v>140.80533499999999</v>
      </c>
      <c r="G19" s="612"/>
      <c r="H19" s="613"/>
      <c r="I19" s="613"/>
      <c r="J19" s="614"/>
    </row>
    <row r="20" spans="1:10" x14ac:dyDescent="0.2">
      <c r="F20" s="43"/>
    </row>
    <row r="21" spans="1:10" ht="13.5" thickBot="1" x14ac:dyDescent="0.25"/>
    <row r="22" spans="1:10" x14ac:dyDescent="0.2">
      <c r="A22" s="489" t="s">
        <v>323</v>
      </c>
      <c r="B22" s="490"/>
      <c r="C22" s="490"/>
      <c r="D22" s="490"/>
      <c r="E22" s="490"/>
      <c r="F22" s="490"/>
      <c r="G22" s="490"/>
      <c r="H22" s="490"/>
      <c r="I22" s="490"/>
      <c r="J22" s="491"/>
    </row>
    <row r="23" spans="1:10" ht="13.5" thickBot="1" x14ac:dyDescent="0.25">
      <c r="A23" s="492"/>
      <c r="B23" s="585"/>
      <c r="C23" s="585"/>
      <c r="D23" s="585"/>
      <c r="E23" s="585"/>
      <c r="F23" s="585"/>
      <c r="G23" s="585"/>
      <c r="H23" s="585"/>
      <c r="I23" s="585"/>
      <c r="J23" s="494"/>
    </row>
    <row r="24" spans="1:10" ht="70.5" customHeight="1" x14ac:dyDescent="0.2">
      <c r="A24" s="241" t="s">
        <v>307</v>
      </c>
      <c r="B24" s="58" t="s">
        <v>83</v>
      </c>
      <c r="C24" s="58" t="s">
        <v>0</v>
      </c>
      <c r="D24" s="58" t="s">
        <v>1</v>
      </c>
      <c r="E24" s="100" t="s">
        <v>44</v>
      </c>
      <c r="F24" s="100" t="s">
        <v>3</v>
      </c>
      <c r="G24" s="347" t="s">
        <v>321</v>
      </c>
      <c r="H24" s="58" t="s">
        <v>32</v>
      </c>
      <c r="I24" s="58" t="s">
        <v>5</v>
      </c>
      <c r="J24" s="101" t="s">
        <v>67</v>
      </c>
    </row>
    <row r="25" spans="1:10" ht="22.5" customHeight="1" x14ac:dyDescent="0.2">
      <c r="A25" s="580" t="s">
        <v>202</v>
      </c>
      <c r="B25" s="586" t="s">
        <v>73</v>
      </c>
      <c r="C25" s="586" t="s">
        <v>74</v>
      </c>
      <c r="D25" s="586" t="s">
        <v>75</v>
      </c>
      <c r="E25" s="578">
        <v>4.9000000000000004</v>
      </c>
      <c r="F25" s="592">
        <v>20.99</v>
      </c>
      <c r="G25" s="346" t="s">
        <v>297</v>
      </c>
      <c r="H25" s="342" t="s">
        <v>475</v>
      </c>
      <c r="I25" s="586" t="s">
        <v>16</v>
      </c>
      <c r="J25" s="599" t="s">
        <v>76</v>
      </c>
    </row>
    <row r="26" spans="1:10" ht="22.5" x14ac:dyDescent="0.2">
      <c r="A26" s="581"/>
      <c r="B26" s="587"/>
      <c r="C26" s="587"/>
      <c r="D26" s="587"/>
      <c r="E26" s="579"/>
      <c r="F26" s="593"/>
      <c r="G26" s="410" t="s">
        <v>583</v>
      </c>
      <c r="H26" s="342" t="s">
        <v>584</v>
      </c>
      <c r="I26" s="587"/>
      <c r="J26" s="600"/>
    </row>
    <row r="27" spans="1:10" ht="22.5" customHeight="1" x14ac:dyDescent="0.2">
      <c r="A27" s="223" t="s">
        <v>266</v>
      </c>
      <c r="B27" s="342" t="s">
        <v>63</v>
      </c>
      <c r="C27" s="349" t="s">
        <v>80</v>
      </c>
      <c r="D27" s="349" t="s">
        <v>81</v>
      </c>
      <c r="E27" s="344">
        <v>9.4</v>
      </c>
      <c r="F27" s="344">
        <v>43.658932</v>
      </c>
      <c r="G27" s="341" t="s">
        <v>262</v>
      </c>
      <c r="H27" s="419" t="s">
        <v>263</v>
      </c>
      <c r="I27" s="349" t="s">
        <v>66</v>
      </c>
      <c r="J27" s="345" t="s">
        <v>263</v>
      </c>
    </row>
    <row r="28" spans="1:10" ht="22.5" customHeight="1" x14ac:dyDescent="0.2">
      <c r="A28" s="580" t="s">
        <v>267</v>
      </c>
      <c r="B28" s="583" t="s">
        <v>284</v>
      </c>
      <c r="C28" s="583" t="s">
        <v>285</v>
      </c>
      <c r="D28" s="586" t="s">
        <v>70</v>
      </c>
      <c r="E28" s="578">
        <v>4.8</v>
      </c>
      <c r="F28" s="578">
        <f>17.95</f>
        <v>17.95</v>
      </c>
      <c r="G28" s="340" t="s">
        <v>286</v>
      </c>
      <c r="H28" s="583" t="s">
        <v>476</v>
      </c>
      <c r="I28" s="586">
        <v>35</v>
      </c>
      <c r="J28" s="604" t="s">
        <v>588</v>
      </c>
    </row>
    <row r="29" spans="1:10" ht="22.5" customHeight="1" x14ac:dyDescent="0.2">
      <c r="A29" s="581"/>
      <c r="B29" s="584"/>
      <c r="C29" s="584"/>
      <c r="D29" s="587"/>
      <c r="E29" s="579"/>
      <c r="F29" s="579"/>
      <c r="G29" s="340" t="s">
        <v>395</v>
      </c>
      <c r="H29" s="584"/>
      <c r="I29" s="587"/>
      <c r="J29" s="605"/>
    </row>
    <row r="30" spans="1:10" ht="22.5" customHeight="1" x14ac:dyDescent="0.2">
      <c r="A30" s="223" t="s">
        <v>308</v>
      </c>
      <c r="B30" s="342" t="s">
        <v>382</v>
      </c>
      <c r="C30" s="351" t="s">
        <v>383</v>
      </c>
      <c r="D30" s="242" t="s">
        <v>384</v>
      </c>
      <c r="E30" s="344">
        <v>10</v>
      </c>
      <c r="F30" s="344">
        <v>41.203000000000003</v>
      </c>
      <c r="G30" s="341" t="s">
        <v>401</v>
      </c>
      <c r="H30" s="349" t="s">
        <v>474</v>
      </c>
      <c r="I30" s="349" t="s">
        <v>385</v>
      </c>
      <c r="J30" s="345" t="s">
        <v>474</v>
      </c>
    </row>
    <row r="31" spans="1:10" ht="22.5" customHeight="1" x14ac:dyDescent="0.2">
      <c r="A31" s="223"/>
      <c r="B31" s="372" t="s">
        <v>410</v>
      </c>
      <c r="C31" s="372" t="s">
        <v>411</v>
      </c>
      <c r="D31" s="373" t="s">
        <v>412</v>
      </c>
      <c r="E31" s="374"/>
      <c r="F31" s="374"/>
      <c r="G31" s="375" t="s">
        <v>416</v>
      </c>
      <c r="H31" s="601" t="s">
        <v>566</v>
      </c>
      <c r="I31" s="602"/>
      <c r="J31" s="603"/>
    </row>
    <row r="32" spans="1:10" ht="22.5" customHeight="1" x14ac:dyDescent="0.2">
      <c r="A32" s="352" t="s">
        <v>309</v>
      </c>
      <c r="B32" s="351" t="s">
        <v>572</v>
      </c>
      <c r="C32" s="342" t="s">
        <v>571</v>
      </c>
      <c r="D32" s="371" t="s">
        <v>573</v>
      </c>
      <c r="E32" s="344">
        <v>4.92</v>
      </c>
      <c r="F32" s="348">
        <v>18.04</v>
      </c>
      <c r="G32" s="341" t="s">
        <v>574</v>
      </c>
      <c r="H32" s="127" t="s">
        <v>575</v>
      </c>
      <c r="I32" s="349" t="s">
        <v>385</v>
      </c>
      <c r="J32" s="87" t="s">
        <v>575</v>
      </c>
    </row>
    <row r="33" spans="1:11" ht="22.5" customHeight="1" thickBot="1" x14ac:dyDescent="0.25">
      <c r="A33" s="376"/>
      <c r="B33" s="99"/>
      <c r="C33" s="377"/>
      <c r="D33" s="378"/>
      <c r="E33" s="104"/>
      <c r="F33" s="379"/>
      <c r="G33" s="380"/>
      <c r="H33" s="189"/>
      <c r="I33" s="189"/>
      <c r="J33" s="381"/>
    </row>
    <row r="34" spans="1:11" ht="21.75" customHeight="1" thickBot="1" x14ac:dyDescent="0.25">
      <c r="A34" s="387">
        <f>COUNT(E25:E33)</f>
        <v>5</v>
      </c>
      <c r="B34" s="386" t="s">
        <v>320</v>
      </c>
      <c r="C34" s="385"/>
      <c r="D34" s="385"/>
      <c r="E34" s="232">
        <f>SUM(E25:E33)</f>
        <v>34.020000000000003</v>
      </c>
      <c r="F34" s="232">
        <f>SUM(F25:F33)</f>
        <v>141.84193200000001</v>
      </c>
      <c r="G34" s="588"/>
      <c r="H34" s="589"/>
      <c r="I34" s="589"/>
      <c r="J34" s="590"/>
    </row>
    <row r="35" spans="1:11" x14ac:dyDescent="0.2">
      <c r="A35" s="6"/>
      <c r="G35" s="9"/>
    </row>
    <row r="36" spans="1:11" x14ac:dyDescent="0.2">
      <c r="F36" s="43"/>
      <c r="G36" s="9"/>
    </row>
    <row r="37" spans="1:11" ht="13.5" thickBot="1" x14ac:dyDescent="0.25">
      <c r="A37" s="423">
        <f>A19+A34</f>
        <v>14</v>
      </c>
      <c r="G37" s="9"/>
    </row>
    <row r="38" spans="1:11" x14ac:dyDescent="0.2">
      <c r="A38" s="440" t="s">
        <v>322</v>
      </c>
      <c r="B38" s="441"/>
      <c r="C38" s="441"/>
      <c r="D38" s="441"/>
      <c r="E38" s="441"/>
      <c r="F38" s="441"/>
      <c r="G38" s="442"/>
      <c r="H38" s="369"/>
    </row>
    <row r="39" spans="1:11" ht="13.5" thickBot="1" x14ac:dyDescent="0.25">
      <c r="A39" s="443"/>
      <c r="B39" s="444"/>
      <c r="C39" s="444"/>
      <c r="D39" s="444"/>
      <c r="E39" s="444"/>
      <c r="F39" s="444"/>
      <c r="G39" s="445"/>
      <c r="H39" s="369"/>
    </row>
    <row r="40" spans="1:11" ht="19.5" customHeight="1" x14ac:dyDescent="0.2">
      <c r="A40" s="222" t="s">
        <v>307</v>
      </c>
      <c r="B40" s="576" t="s">
        <v>357</v>
      </c>
      <c r="C40" s="576"/>
      <c r="D40" s="234" t="s">
        <v>40</v>
      </c>
      <c r="E40" s="234" t="s">
        <v>41</v>
      </c>
      <c r="F40" s="234" t="s">
        <v>42</v>
      </c>
      <c r="G40" s="235" t="s">
        <v>43</v>
      </c>
    </row>
    <row r="41" spans="1:11" ht="21" customHeight="1" x14ac:dyDescent="0.2">
      <c r="A41" s="224" t="s">
        <v>202</v>
      </c>
      <c r="B41" s="573" t="s">
        <v>471</v>
      </c>
      <c r="C41" s="573"/>
      <c r="D41" s="239">
        <v>233.79</v>
      </c>
      <c r="E41" s="239">
        <v>272.45999999999998</v>
      </c>
      <c r="F41" s="239">
        <v>361.56</v>
      </c>
      <c r="G41" s="240">
        <v>426.62</v>
      </c>
    </row>
    <row r="42" spans="1:11" ht="21" customHeight="1" x14ac:dyDescent="0.2">
      <c r="A42" s="237" t="s">
        <v>266</v>
      </c>
      <c r="B42" s="577" t="s">
        <v>316</v>
      </c>
      <c r="C42" s="577"/>
      <c r="D42" s="238">
        <f>$F$19</f>
        <v>140.80533499999999</v>
      </c>
      <c r="E42" s="238">
        <f>F19</f>
        <v>140.80533499999999</v>
      </c>
      <c r="F42" s="238">
        <f t="shared" ref="F42:G42" si="0">$F$19</f>
        <v>140.80533499999999</v>
      </c>
      <c r="G42" s="238">
        <f t="shared" si="0"/>
        <v>140.80533499999999</v>
      </c>
      <c r="J42" s="1"/>
      <c r="K42" s="1"/>
    </row>
    <row r="43" spans="1:11" ht="21" customHeight="1" x14ac:dyDescent="0.2">
      <c r="A43" s="145" t="s">
        <v>267</v>
      </c>
      <c r="B43" s="575" t="s">
        <v>317</v>
      </c>
      <c r="C43" s="575"/>
      <c r="D43" s="180">
        <f>F25+F28+F27</f>
        <v>82.598931999999991</v>
      </c>
      <c r="E43" s="180">
        <f>F25+F27+F28+F30+7.870748</f>
        <v>131.67268000000001</v>
      </c>
      <c r="F43" s="180">
        <f>F25+F27+F28+F30+F32</f>
        <v>141.84193200000001</v>
      </c>
      <c r="G43" s="236">
        <f>F43</f>
        <v>141.84193200000001</v>
      </c>
      <c r="I43" s="43"/>
      <c r="J43" s="1"/>
      <c r="K43" s="1"/>
    </row>
    <row r="44" spans="1:11" ht="21" customHeight="1" x14ac:dyDescent="0.2">
      <c r="A44" s="224" t="s">
        <v>308</v>
      </c>
      <c r="B44" s="573" t="s">
        <v>480</v>
      </c>
      <c r="C44" s="573"/>
      <c r="D44" s="239">
        <f>D42+D43</f>
        <v>223.40426699999998</v>
      </c>
      <c r="E44" s="239">
        <f>E42+E43</f>
        <v>272.47801500000003</v>
      </c>
      <c r="F44" s="239">
        <f>F42+F43</f>
        <v>282.647267</v>
      </c>
      <c r="G44" s="240">
        <f>G42+G43</f>
        <v>282.647267</v>
      </c>
      <c r="I44" s="34"/>
      <c r="J44" s="1"/>
      <c r="K44" s="1"/>
    </row>
    <row r="45" spans="1:11" ht="21" customHeight="1" x14ac:dyDescent="0.2">
      <c r="A45" s="145" t="s">
        <v>309</v>
      </c>
      <c r="B45" s="575" t="s">
        <v>275</v>
      </c>
      <c r="C45" s="575"/>
      <c r="D45" s="180">
        <f>43.658932-32.362226</f>
        <v>11.296706</v>
      </c>
      <c r="E45" s="180">
        <v>10.169252</v>
      </c>
      <c r="F45" s="180">
        <v>0</v>
      </c>
      <c r="G45" s="181">
        <v>0</v>
      </c>
      <c r="J45" s="9"/>
      <c r="K45" s="1"/>
    </row>
    <row r="46" spans="1:11" ht="21" customHeight="1" x14ac:dyDescent="0.2">
      <c r="A46" s="224" t="s">
        <v>310</v>
      </c>
      <c r="B46" s="573" t="s">
        <v>481</v>
      </c>
      <c r="C46" s="573"/>
      <c r="D46" s="239">
        <f>D41-D44</f>
        <v>10.385733000000016</v>
      </c>
      <c r="E46" s="239">
        <f>E41-E44</f>
        <v>-1.8015000000048076E-2</v>
      </c>
      <c r="F46" s="239">
        <f>F41-F44</f>
        <v>78.912733000000003</v>
      </c>
      <c r="G46" s="240">
        <f>G41-G44</f>
        <v>143.97273300000001</v>
      </c>
    </row>
    <row r="47" spans="1:11" x14ac:dyDescent="0.2">
      <c r="A47" s="31"/>
      <c r="B47" s="574"/>
      <c r="C47" s="574"/>
      <c r="D47" s="28"/>
    </row>
    <row r="48" spans="1:11" x14ac:dyDescent="0.2">
      <c r="E48" s="34"/>
    </row>
    <row r="49" spans="3:7" x14ac:dyDescent="0.2">
      <c r="E49" s="117"/>
      <c r="F49" s="34"/>
    </row>
    <row r="50" spans="3:7" x14ac:dyDescent="0.2">
      <c r="C50" s="43"/>
      <c r="E50" s="34"/>
    </row>
    <row r="51" spans="3:7" x14ac:dyDescent="0.2">
      <c r="D51" s="34"/>
      <c r="E51" s="34"/>
      <c r="G51" s="34"/>
    </row>
    <row r="53" spans="3:7" x14ac:dyDescent="0.2">
      <c r="E53" s="43"/>
      <c r="F53" s="43"/>
    </row>
    <row r="54" spans="3:7" x14ac:dyDescent="0.2">
      <c r="E54" s="34"/>
    </row>
    <row r="56" spans="3:7" x14ac:dyDescent="0.2">
      <c r="E56" s="34"/>
      <c r="F56" s="34"/>
    </row>
    <row r="57" spans="3:7" x14ac:dyDescent="0.2">
      <c r="E57" s="34"/>
    </row>
    <row r="58" spans="3:7" x14ac:dyDescent="0.2">
      <c r="G58" s="43"/>
    </row>
  </sheetData>
  <mergeCells count="79">
    <mergeCell ref="A38:G39"/>
    <mergeCell ref="A2:J3"/>
    <mergeCell ref="G19:J19"/>
    <mergeCell ref="G5:H5"/>
    <mergeCell ref="G7:H7"/>
    <mergeCell ref="G9:H9"/>
    <mergeCell ref="G11:H11"/>
    <mergeCell ref="G12:H12"/>
    <mergeCell ref="G14:H14"/>
    <mergeCell ref="G15:H15"/>
    <mergeCell ref="G16:H16"/>
    <mergeCell ref="G4:H4"/>
    <mergeCell ref="E7:E8"/>
    <mergeCell ref="F7:F8"/>
    <mergeCell ref="D9:D10"/>
    <mergeCell ref="E9:E10"/>
    <mergeCell ref="G34:J34"/>
    <mergeCell ref="B28:B29"/>
    <mergeCell ref="I7:I8"/>
    <mergeCell ref="J7:J8"/>
    <mergeCell ref="E28:E29"/>
    <mergeCell ref="F28:F29"/>
    <mergeCell ref="G17:H17"/>
    <mergeCell ref="F25:F26"/>
    <mergeCell ref="I25:I26"/>
    <mergeCell ref="B19:D19"/>
    <mergeCell ref="G18:H18"/>
    <mergeCell ref="J25:J26"/>
    <mergeCell ref="H31:J31"/>
    <mergeCell ref="J28:J29"/>
    <mergeCell ref="I28:I29"/>
    <mergeCell ref="F9:F10"/>
    <mergeCell ref="A22:J23"/>
    <mergeCell ref="I9:I10"/>
    <mergeCell ref="J9:J10"/>
    <mergeCell ref="A9:A10"/>
    <mergeCell ref="C28:C29"/>
    <mergeCell ref="D28:D29"/>
    <mergeCell ref="A25:A26"/>
    <mergeCell ref="B25:B26"/>
    <mergeCell ref="C25:C26"/>
    <mergeCell ref="D25:D26"/>
    <mergeCell ref="G6:H6"/>
    <mergeCell ref="A7:A8"/>
    <mergeCell ref="B46:C46"/>
    <mergeCell ref="B47:C47"/>
    <mergeCell ref="B45:C45"/>
    <mergeCell ref="B40:C40"/>
    <mergeCell ref="B41:C41"/>
    <mergeCell ref="B42:C42"/>
    <mergeCell ref="B43:C43"/>
    <mergeCell ref="B44:C44"/>
    <mergeCell ref="E25:E26"/>
    <mergeCell ref="A28:A29"/>
    <mergeCell ref="G10:H10"/>
    <mergeCell ref="B9:B10"/>
    <mergeCell ref="C9:C10"/>
    <mergeCell ref="H28:H29"/>
    <mergeCell ref="B5:B6"/>
    <mergeCell ref="C5:C6"/>
    <mergeCell ref="D5:D6"/>
    <mergeCell ref="E5:E6"/>
    <mergeCell ref="F5:F6"/>
    <mergeCell ref="J5:J6"/>
    <mergeCell ref="I5:I6"/>
    <mergeCell ref="A12:A13"/>
    <mergeCell ref="B12:B13"/>
    <mergeCell ref="C12:C13"/>
    <mergeCell ref="D12:D13"/>
    <mergeCell ref="E12:E13"/>
    <mergeCell ref="F12:F13"/>
    <mergeCell ref="G13:H13"/>
    <mergeCell ref="J12:J13"/>
    <mergeCell ref="I12:I13"/>
    <mergeCell ref="A5:A6"/>
    <mergeCell ref="G8:H8"/>
    <mergeCell ref="B7:B8"/>
    <mergeCell ref="C7:C8"/>
    <mergeCell ref="D7:D8"/>
  </mergeCells>
  <hyperlinks>
    <hyperlink ref="G9" r:id="rId1" display="01-273-5/14/Р-85-163"/>
    <hyperlink ref="G7" r:id="rId2" display="01-153-10/14/Р-82-103"/>
    <hyperlink ref="G5" r:id="rId3" display="01-102-11/13/Р-58-21"/>
    <hyperlink ref="G12" r:id="rId4" display="01-245-7/14/Р-106-75"/>
    <hyperlink ref="G25" r:id="rId5" display="01-535-13/14/Р-103-41"/>
    <hyperlink ref="G11" r:id="rId6"/>
    <hyperlink ref="G14" r:id="rId7" display="01-512-8/Р/118-222"/>
    <hyperlink ref="G27" r:id="rId8"/>
    <hyperlink ref="G16" r:id="rId9"/>
    <hyperlink ref="G28" r:id="rId10"/>
    <hyperlink ref="G15" r:id="rId11" display="01-79-6/Р/4-04-55"/>
    <hyperlink ref="G5:H5" r:id="rId12" display=" 01-120-6/12"/>
    <hyperlink ref="G29" r:id="rId13"/>
    <hyperlink ref="G30" r:id="rId14"/>
    <hyperlink ref="G8:H8" r:id="rId15" display=" 01-115-18/12/Р-27-295"/>
    <hyperlink ref="G6" r:id="rId16" display="01-102-11/13/Р-58-21"/>
    <hyperlink ref="G6:H6" r:id="rId17" display=" 01-120-9/12/Р-27-292"/>
    <hyperlink ref="G5:H6" r:id="rId18" display=" 01-120-9/12/Р-27-291"/>
    <hyperlink ref="G10:H10" r:id="rId19" display="01-357-12/12/Р-27-292 "/>
    <hyperlink ref="G31" r:id="rId20"/>
    <hyperlink ref="G12:H12" r:id="rId21" display="01-245-7/15/Р-106-75"/>
    <hyperlink ref="G14:H14" r:id="rId22" display="01-512-8/15/Р-118-222"/>
    <hyperlink ref="G15:H15" r:id="rId23" display="01-79-6/16/Р-4-55"/>
    <hyperlink ref="G17:H17" r:id="rId24" display="01-529-10/16/Р-29-314"/>
    <hyperlink ref="G26" r:id="rId25"/>
    <hyperlink ref="G18:H18" r:id="rId26" display="01-254-5/17/Р-45-107"/>
    <hyperlink ref="G32" r:id="rId27"/>
    <hyperlink ref="G13:H13" r:id="rId28" display="01-245-14/15/Р-47-125"/>
  </hyperlinks>
  <pageMargins left="0.25" right="0.25" top="0.75" bottom="0.75" header="0.3" footer="0.3"/>
  <pageSetup paperSize="9" scale="66" fitToHeight="0" orientation="landscape"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R108"/>
  <sheetViews>
    <sheetView view="pageBreakPreview" topLeftCell="A57" zoomScaleNormal="100" zoomScaleSheetLayoutView="100" workbookViewId="0">
      <selection activeCell="L72" sqref="L72"/>
    </sheetView>
  </sheetViews>
  <sheetFormatPr defaultRowHeight="12.75" x14ac:dyDescent="0.2"/>
  <cols>
    <col min="3" max="3" width="5.28515625" customWidth="1"/>
    <col min="4" max="4" width="24.42578125" customWidth="1"/>
    <col min="5" max="5" width="33.28515625" customWidth="1"/>
    <col min="6" max="6" width="14.42578125" customWidth="1"/>
    <col min="7" max="7" width="13.85546875" customWidth="1"/>
    <col min="8" max="8" width="16.140625" customWidth="1"/>
    <col min="9" max="9" width="16.85546875" customWidth="1"/>
    <col min="10" max="10" width="13.42578125" customWidth="1"/>
    <col min="11" max="11" width="18" customWidth="1"/>
    <col min="12" max="12" width="18.42578125" customWidth="1"/>
    <col min="13" max="13" width="18" customWidth="1"/>
    <col min="14" max="14" width="13.85546875" customWidth="1"/>
    <col min="15" max="15" width="17.28515625" customWidth="1"/>
    <col min="16" max="16" width="11.85546875" customWidth="1"/>
    <col min="17" max="17" width="12" customWidth="1"/>
  </cols>
  <sheetData>
    <row r="1" spans="3:13" ht="27.75" customHeight="1" thickBot="1" x14ac:dyDescent="0.25">
      <c r="J1" s="60"/>
    </row>
    <row r="2" spans="3:13" ht="27.75" customHeight="1" thickBot="1" x14ac:dyDescent="0.25">
      <c r="C2" s="671" t="s">
        <v>359</v>
      </c>
      <c r="D2" s="672"/>
      <c r="E2" s="672"/>
      <c r="F2" s="672"/>
      <c r="G2" s="672"/>
      <c r="H2" s="672"/>
      <c r="I2" s="672"/>
      <c r="J2" s="672"/>
      <c r="K2" s="672"/>
      <c r="L2" s="672"/>
      <c r="M2" s="673"/>
    </row>
    <row r="3" spans="3:13" ht="29.25" customHeight="1" x14ac:dyDescent="0.2">
      <c r="C3" s="676" t="s">
        <v>307</v>
      </c>
      <c r="D3" s="641" t="s">
        <v>83</v>
      </c>
      <c r="E3" s="641" t="s">
        <v>0</v>
      </c>
      <c r="F3" s="641" t="s">
        <v>442</v>
      </c>
      <c r="G3" s="641"/>
      <c r="H3" s="641"/>
      <c r="I3" s="278" t="s">
        <v>443</v>
      </c>
      <c r="J3" s="643" t="s">
        <v>213</v>
      </c>
      <c r="K3" s="645" t="s">
        <v>249</v>
      </c>
      <c r="L3" s="641" t="s">
        <v>84</v>
      </c>
      <c r="M3" s="639" t="s">
        <v>355</v>
      </c>
    </row>
    <row r="4" spans="3:13" ht="34.5" customHeight="1" x14ac:dyDescent="0.2">
      <c r="C4" s="677"/>
      <c r="D4" s="642"/>
      <c r="E4" s="642"/>
      <c r="F4" s="157" t="s">
        <v>445</v>
      </c>
      <c r="G4" s="157" t="s">
        <v>446</v>
      </c>
      <c r="H4" s="157" t="s">
        <v>448</v>
      </c>
      <c r="I4" s="157" t="s">
        <v>449</v>
      </c>
      <c r="J4" s="644"/>
      <c r="K4" s="646"/>
      <c r="L4" s="642"/>
      <c r="M4" s="640"/>
    </row>
    <row r="5" spans="3:13" ht="21.75" customHeight="1" x14ac:dyDescent="0.2">
      <c r="C5" s="61" t="s">
        <v>202</v>
      </c>
      <c r="D5" s="250" t="s">
        <v>86</v>
      </c>
      <c r="E5" s="246" t="s">
        <v>87</v>
      </c>
      <c r="F5" s="45">
        <v>42.5</v>
      </c>
      <c r="G5" s="246" t="s">
        <v>385</v>
      </c>
      <c r="H5" s="246" t="s">
        <v>385</v>
      </c>
      <c r="I5" s="246" t="s">
        <v>385</v>
      </c>
      <c r="J5" s="357">
        <v>55000</v>
      </c>
      <c r="K5" s="134" t="s">
        <v>90</v>
      </c>
      <c r="L5" s="246" t="s">
        <v>88</v>
      </c>
      <c r="M5" s="62" t="s">
        <v>89</v>
      </c>
    </row>
    <row r="6" spans="3:13" ht="21.75" customHeight="1" x14ac:dyDescent="0.2">
      <c r="C6" s="63" t="s">
        <v>266</v>
      </c>
      <c r="D6" s="250" t="s">
        <v>91</v>
      </c>
      <c r="E6" s="246" t="s">
        <v>92</v>
      </c>
      <c r="F6" s="45">
        <v>26.88</v>
      </c>
      <c r="G6" s="246" t="s">
        <v>385</v>
      </c>
      <c r="H6" s="246" t="s">
        <v>385</v>
      </c>
      <c r="I6" s="246" t="s">
        <v>385</v>
      </c>
      <c r="J6" s="355">
        <v>29793</v>
      </c>
      <c r="K6" s="134" t="s">
        <v>90</v>
      </c>
      <c r="L6" s="246" t="s">
        <v>88</v>
      </c>
      <c r="M6" s="64" t="s">
        <v>93</v>
      </c>
    </row>
    <row r="7" spans="3:13" ht="21.75" customHeight="1" x14ac:dyDescent="0.2">
      <c r="C7" s="63" t="s">
        <v>267</v>
      </c>
      <c r="D7" s="250" t="s">
        <v>94</v>
      </c>
      <c r="E7" s="246" t="s">
        <v>95</v>
      </c>
      <c r="F7" s="45">
        <v>49.8</v>
      </c>
      <c r="G7" s="246" t="s">
        <v>385</v>
      </c>
      <c r="H7" s="246" t="s">
        <v>385</v>
      </c>
      <c r="I7" s="246" t="s">
        <v>385</v>
      </c>
      <c r="J7" s="357">
        <v>55000</v>
      </c>
      <c r="K7" s="130" t="s">
        <v>90</v>
      </c>
      <c r="L7" s="246" t="s">
        <v>88</v>
      </c>
      <c r="M7" s="62" t="s">
        <v>96</v>
      </c>
    </row>
    <row r="8" spans="3:13" ht="21.75" customHeight="1" x14ac:dyDescent="0.2">
      <c r="C8" s="61" t="s">
        <v>308</v>
      </c>
      <c r="D8" s="19" t="s">
        <v>325</v>
      </c>
      <c r="E8" s="19" t="s">
        <v>97</v>
      </c>
      <c r="F8" s="246" t="s">
        <v>385</v>
      </c>
      <c r="G8" s="20">
        <f>110.25</f>
        <v>110.25</v>
      </c>
      <c r="H8" s="669" t="s">
        <v>301</v>
      </c>
      <c r="I8" s="670"/>
      <c r="J8" s="357">
        <v>116200</v>
      </c>
      <c r="K8" s="130" t="s">
        <v>90</v>
      </c>
      <c r="L8" s="246" t="s">
        <v>88</v>
      </c>
      <c r="M8" s="65" t="s">
        <v>98</v>
      </c>
    </row>
    <row r="9" spans="3:13" ht="21.75" customHeight="1" x14ac:dyDescent="0.2">
      <c r="C9" s="63" t="s">
        <v>309</v>
      </c>
      <c r="D9" s="250" t="s">
        <v>99</v>
      </c>
      <c r="E9" s="246" t="s">
        <v>100</v>
      </c>
      <c r="F9" s="246" t="s">
        <v>385</v>
      </c>
      <c r="G9" s="246" t="s">
        <v>385</v>
      </c>
      <c r="H9" s="246" t="s">
        <v>385</v>
      </c>
      <c r="I9" s="246">
        <f>10.12</f>
        <v>10.119999999999999</v>
      </c>
      <c r="J9" s="357">
        <v>11800</v>
      </c>
      <c r="K9" s="130" t="s">
        <v>90</v>
      </c>
      <c r="L9" s="246" t="s">
        <v>206</v>
      </c>
      <c r="M9" s="65" t="s">
        <v>101</v>
      </c>
    </row>
    <row r="10" spans="3:13" ht="21.75" customHeight="1" x14ac:dyDescent="0.2">
      <c r="C10" s="63" t="s">
        <v>310</v>
      </c>
      <c r="D10" s="250" t="s">
        <v>103</v>
      </c>
      <c r="E10" s="246" t="s">
        <v>212</v>
      </c>
      <c r="F10" s="45">
        <f>20/1000</f>
        <v>0.02</v>
      </c>
      <c r="G10" s="246" t="s">
        <v>385</v>
      </c>
      <c r="H10" s="246" t="s">
        <v>385</v>
      </c>
      <c r="I10" s="246" t="s">
        <v>385</v>
      </c>
      <c r="J10" s="357">
        <v>26000</v>
      </c>
      <c r="K10" s="131" t="s">
        <v>102</v>
      </c>
      <c r="L10" s="250" t="s">
        <v>104</v>
      </c>
      <c r="M10" s="65" t="s">
        <v>105</v>
      </c>
    </row>
    <row r="11" spans="3:13" ht="21.75" customHeight="1" x14ac:dyDescent="0.2">
      <c r="C11" s="63" t="s">
        <v>318</v>
      </c>
      <c r="D11" s="250" t="s">
        <v>103</v>
      </c>
      <c r="E11" s="246" t="s">
        <v>214</v>
      </c>
      <c r="F11" s="45">
        <v>10</v>
      </c>
      <c r="G11" s="246" t="s">
        <v>385</v>
      </c>
      <c r="H11" s="246" t="s">
        <v>385</v>
      </c>
      <c r="I11" s="246" t="s">
        <v>385</v>
      </c>
      <c r="J11" s="357">
        <v>12000</v>
      </c>
      <c r="K11" s="131" t="s">
        <v>102</v>
      </c>
      <c r="L11" s="250" t="s">
        <v>104</v>
      </c>
      <c r="M11" s="65" t="s">
        <v>106</v>
      </c>
    </row>
    <row r="12" spans="3:13" ht="21.75" customHeight="1" x14ac:dyDescent="0.2">
      <c r="C12" s="63" t="s">
        <v>319</v>
      </c>
      <c r="D12" s="250" t="s">
        <v>107</v>
      </c>
      <c r="E12" s="246" t="s">
        <v>108</v>
      </c>
      <c r="F12" s="45">
        <v>12.5</v>
      </c>
      <c r="G12" s="246" t="s">
        <v>385</v>
      </c>
      <c r="H12" s="246" t="s">
        <v>385</v>
      </c>
      <c r="I12" s="246" t="s">
        <v>385</v>
      </c>
      <c r="J12" s="357">
        <v>18000</v>
      </c>
      <c r="K12" s="131" t="s">
        <v>111</v>
      </c>
      <c r="L12" s="250" t="s">
        <v>109</v>
      </c>
      <c r="M12" s="64" t="s">
        <v>110</v>
      </c>
    </row>
    <row r="13" spans="3:13" ht="21.75" customHeight="1" x14ac:dyDescent="0.2">
      <c r="C13" s="63" t="s">
        <v>326</v>
      </c>
      <c r="D13" s="250" t="s">
        <v>112</v>
      </c>
      <c r="E13" s="246" t="s">
        <v>113</v>
      </c>
      <c r="F13" s="45">
        <v>49.68</v>
      </c>
      <c r="G13" s="246" t="s">
        <v>385</v>
      </c>
      <c r="H13" s="246" t="s">
        <v>385</v>
      </c>
      <c r="I13" s="246" t="s">
        <v>385</v>
      </c>
      <c r="J13" s="357">
        <v>57542</v>
      </c>
      <c r="K13" s="131" t="s">
        <v>111</v>
      </c>
      <c r="L13" s="250" t="s">
        <v>109</v>
      </c>
      <c r="M13" s="64" t="s">
        <v>114</v>
      </c>
    </row>
    <row r="14" spans="3:13" ht="21.75" customHeight="1" x14ac:dyDescent="0.2">
      <c r="C14" s="63" t="s">
        <v>327</v>
      </c>
      <c r="D14" s="250" t="s">
        <v>112</v>
      </c>
      <c r="E14" s="246" t="s">
        <v>115</v>
      </c>
      <c r="F14" s="45">
        <v>49.68</v>
      </c>
      <c r="G14" s="246" t="s">
        <v>385</v>
      </c>
      <c r="H14" s="246" t="s">
        <v>385</v>
      </c>
      <c r="I14" s="246" t="s">
        <v>385</v>
      </c>
      <c r="J14" s="357">
        <v>57542</v>
      </c>
      <c r="K14" s="131" t="s">
        <v>111</v>
      </c>
      <c r="L14" s="250" t="s">
        <v>109</v>
      </c>
      <c r="M14" s="64" t="s">
        <v>116</v>
      </c>
    </row>
    <row r="15" spans="3:13" ht="21.75" customHeight="1" x14ac:dyDescent="0.2">
      <c r="C15" s="63" t="s">
        <v>328</v>
      </c>
      <c r="D15" s="250" t="s">
        <v>94</v>
      </c>
      <c r="E15" s="246" t="s">
        <v>117</v>
      </c>
      <c r="F15" s="246" t="s">
        <v>385</v>
      </c>
      <c r="G15" s="154">
        <v>49.8</v>
      </c>
      <c r="H15" s="246" t="s">
        <v>385</v>
      </c>
      <c r="I15" s="246" t="s">
        <v>385</v>
      </c>
      <c r="J15" s="357">
        <v>60000</v>
      </c>
      <c r="K15" s="131" t="s">
        <v>215</v>
      </c>
      <c r="L15" s="250" t="s">
        <v>118</v>
      </c>
      <c r="M15" s="65" t="s">
        <v>119</v>
      </c>
    </row>
    <row r="16" spans="3:13" ht="21.75" customHeight="1" x14ac:dyDescent="0.2">
      <c r="C16" s="63" t="s">
        <v>329</v>
      </c>
      <c r="D16" s="250" t="s">
        <v>94</v>
      </c>
      <c r="E16" s="246" t="s">
        <v>120</v>
      </c>
      <c r="F16" s="246" t="s">
        <v>385</v>
      </c>
      <c r="G16" s="154">
        <v>49.8</v>
      </c>
      <c r="H16" s="246" t="s">
        <v>385</v>
      </c>
      <c r="I16" s="246" t="s">
        <v>385</v>
      </c>
      <c r="J16" s="357">
        <v>60000</v>
      </c>
      <c r="K16" s="131" t="s">
        <v>215</v>
      </c>
      <c r="L16" s="250" t="s">
        <v>118</v>
      </c>
      <c r="M16" s="65" t="s">
        <v>121</v>
      </c>
    </row>
    <row r="17" spans="3:13" ht="15.75" customHeight="1" x14ac:dyDescent="0.2">
      <c r="C17" s="63" t="s">
        <v>330</v>
      </c>
      <c r="D17" s="571" t="s">
        <v>122</v>
      </c>
      <c r="E17" s="246" t="s">
        <v>123</v>
      </c>
      <c r="F17" s="246" t="s">
        <v>385</v>
      </c>
      <c r="G17" s="45">
        <v>122.4</v>
      </c>
      <c r="H17" s="246" t="s">
        <v>385</v>
      </c>
      <c r="I17" s="246" t="s">
        <v>385</v>
      </c>
      <c r="J17" s="357">
        <v>140000</v>
      </c>
      <c r="K17" s="131" t="s">
        <v>140</v>
      </c>
      <c r="L17" s="250" t="s">
        <v>124</v>
      </c>
      <c r="M17" s="65" t="s">
        <v>125</v>
      </c>
    </row>
    <row r="18" spans="3:13" ht="15.75" customHeight="1" x14ac:dyDescent="0.2">
      <c r="C18" s="63" t="s">
        <v>331</v>
      </c>
      <c r="D18" s="571"/>
      <c r="E18" s="246" t="s">
        <v>126</v>
      </c>
      <c r="F18" s="246" t="s">
        <v>385</v>
      </c>
      <c r="G18" s="45">
        <v>122.4</v>
      </c>
      <c r="H18" s="246" t="s">
        <v>385</v>
      </c>
      <c r="I18" s="246" t="s">
        <v>385</v>
      </c>
      <c r="J18" s="357">
        <v>140000</v>
      </c>
      <c r="K18" s="131" t="s">
        <v>140</v>
      </c>
      <c r="L18" s="250" t="s">
        <v>124</v>
      </c>
      <c r="M18" s="65" t="s">
        <v>127</v>
      </c>
    </row>
    <row r="19" spans="3:13" ht="15.75" customHeight="1" x14ac:dyDescent="0.2">
      <c r="C19" s="63" t="s">
        <v>332</v>
      </c>
      <c r="D19" s="571" t="s">
        <v>128</v>
      </c>
      <c r="E19" s="246" t="s">
        <v>129</v>
      </c>
      <c r="F19" s="45">
        <v>49.5</v>
      </c>
      <c r="G19" s="246" t="s">
        <v>385</v>
      </c>
      <c r="H19" s="246" t="s">
        <v>385</v>
      </c>
      <c r="I19" s="246" t="s">
        <v>385</v>
      </c>
      <c r="J19" s="357">
        <v>57000</v>
      </c>
      <c r="K19" s="131" t="s">
        <v>140</v>
      </c>
      <c r="L19" s="250" t="s">
        <v>124</v>
      </c>
      <c r="M19" s="65" t="s">
        <v>130</v>
      </c>
    </row>
    <row r="20" spans="3:13" ht="15.75" customHeight="1" x14ac:dyDescent="0.2">
      <c r="C20" s="63" t="s">
        <v>333</v>
      </c>
      <c r="D20" s="571"/>
      <c r="E20" s="246" t="s">
        <v>131</v>
      </c>
      <c r="F20" s="45">
        <v>49.5</v>
      </c>
      <c r="G20" s="246" t="s">
        <v>385</v>
      </c>
      <c r="H20" s="246" t="s">
        <v>385</v>
      </c>
      <c r="I20" s="246" t="s">
        <v>385</v>
      </c>
      <c r="J20" s="357">
        <v>57000</v>
      </c>
      <c r="K20" s="131" t="s">
        <v>140</v>
      </c>
      <c r="L20" s="250" t="s">
        <v>124</v>
      </c>
      <c r="M20" s="65" t="s">
        <v>132</v>
      </c>
    </row>
    <row r="21" spans="3:13" ht="15.75" customHeight="1" x14ac:dyDescent="0.2">
      <c r="C21" s="63" t="s">
        <v>334</v>
      </c>
      <c r="D21" s="250" t="s">
        <v>216</v>
      </c>
      <c r="E21" s="246" t="s">
        <v>141</v>
      </c>
      <c r="F21" s="246" t="s">
        <v>385</v>
      </c>
      <c r="G21" s="246" t="s">
        <v>385</v>
      </c>
      <c r="H21" s="246" t="s">
        <v>385</v>
      </c>
      <c r="I21" s="246">
        <v>247.86</v>
      </c>
      <c r="J21" s="357">
        <v>300000</v>
      </c>
      <c r="K21" s="131" t="s">
        <v>140</v>
      </c>
      <c r="L21" s="250" t="s">
        <v>135</v>
      </c>
      <c r="M21" s="66" t="s">
        <v>142</v>
      </c>
    </row>
    <row r="22" spans="3:13" ht="15.75" customHeight="1" x14ac:dyDescent="0.2">
      <c r="C22" s="63" t="s">
        <v>335</v>
      </c>
      <c r="D22" s="250" t="s">
        <v>137</v>
      </c>
      <c r="E22" s="246" t="s">
        <v>138</v>
      </c>
      <c r="F22" s="246" t="s">
        <v>385</v>
      </c>
      <c r="G22" s="246">
        <v>249.56</v>
      </c>
      <c r="H22" s="246" t="s">
        <v>385</v>
      </c>
      <c r="I22" s="246" t="s">
        <v>385</v>
      </c>
      <c r="J22" s="357">
        <f>336825</f>
        <v>336825</v>
      </c>
      <c r="K22" s="131" t="s">
        <v>140</v>
      </c>
      <c r="L22" s="250" t="s">
        <v>135</v>
      </c>
      <c r="M22" s="66" t="s">
        <v>139</v>
      </c>
    </row>
    <row r="23" spans="3:13" ht="33.75" x14ac:dyDescent="0.2">
      <c r="C23" s="63" t="s">
        <v>336</v>
      </c>
      <c r="D23" s="250" t="s">
        <v>133</v>
      </c>
      <c r="E23" s="246" t="s">
        <v>134</v>
      </c>
      <c r="F23" s="155">
        <f>8.385</f>
        <v>8.3849999999999998</v>
      </c>
      <c r="G23" s="246" t="s">
        <v>385</v>
      </c>
      <c r="H23" s="246" t="s">
        <v>385</v>
      </c>
      <c r="I23" s="246" t="s">
        <v>385</v>
      </c>
      <c r="J23" s="357">
        <f>7000</f>
        <v>7000</v>
      </c>
      <c r="K23" s="131" t="s">
        <v>140</v>
      </c>
      <c r="L23" s="250" t="s">
        <v>135</v>
      </c>
      <c r="M23" s="65" t="s">
        <v>136</v>
      </c>
    </row>
    <row r="24" spans="3:13" ht="15.75" customHeight="1" x14ac:dyDescent="0.2">
      <c r="C24" s="63" t="s">
        <v>337</v>
      </c>
      <c r="D24" s="250" t="s">
        <v>143</v>
      </c>
      <c r="E24" s="246" t="s">
        <v>144</v>
      </c>
      <c r="F24" s="246">
        <f>9.27</f>
        <v>9.27</v>
      </c>
      <c r="G24" s="246" t="s">
        <v>385</v>
      </c>
      <c r="H24" s="246" t="s">
        <v>385</v>
      </c>
      <c r="I24" s="246" t="s">
        <v>385</v>
      </c>
      <c r="J24" s="357">
        <v>12000</v>
      </c>
      <c r="K24" s="131" t="s">
        <v>217</v>
      </c>
      <c r="L24" s="250" t="s">
        <v>135</v>
      </c>
      <c r="M24" s="67" t="s">
        <v>145</v>
      </c>
    </row>
    <row r="25" spans="3:13" ht="22.5" x14ac:dyDescent="0.2">
      <c r="C25" s="63" t="s">
        <v>338</v>
      </c>
      <c r="D25" s="250" t="s">
        <v>146</v>
      </c>
      <c r="E25" s="246" t="s">
        <v>147</v>
      </c>
      <c r="F25" s="45">
        <f>48</f>
        <v>48</v>
      </c>
      <c r="G25" s="246" t="s">
        <v>385</v>
      </c>
      <c r="H25" s="246" t="s">
        <v>385</v>
      </c>
      <c r="I25" s="246" t="s">
        <v>385</v>
      </c>
      <c r="J25" s="357">
        <f>60000</f>
        <v>60000</v>
      </c>
      <c r="K25" s="131" t="s">
        <v>218</v>
      </c>
      <c r="L25" s="246" t="s">
        <v>148</v>
      </c>
      <c r="M25" s="65" t="s">
        <v>149</v>
      </c>
    </row>
    <row r="26" spans="3:13" ht="16.5" customHeight="1" x14ac:dyDescent="0.2">
      <c r="C26" s="63" t="s">
        <v>339</v>
      </c>
      <c r="D26" s="250" t="s">
        <v>150</v>
      </c>
      <c r="E26" s="246" t="s">
        <v>151</v>
      </c>
      <c r="F26" s="246" t="s">
        <v>385</v>
      </c>
      <c r="G26" s="45">
        <v>188.5</v>
      </c>
      <c r="H26" s="246" t="s">
        <v>385</v>
      </c>
      <c r="I26" s="246" t="s">
        <v>385</v>
      </c>
      <c r="J26" s="355">
        <v>216066</v>
      </c>
      <c r="K26" s="131" t="s">
        <v>218</v>
      </c>
      <c r="L26" s="246" t="s">
        <v>152</v>
      </c>
      <c r="M26" s="67" t="s">
        <v>153</v>
      </c>
    </row>
    <row r="27" spans="3:13" ht="15" customHeight="1" x14ac:dyDescent="0.2">
      <c r="C27" s="63" t="s">
        <v>340</v>
      </c>
      <c r="D27" s="250" t="s">
        <v>154</v>
      </c>
      <c r="E27" s="250" t="s">
        <v>155</v>
      </c>
      <c r="F27" s="45">
        <v>20</v>
      </c>
      <c r="G27" s="648" t="s">
        <v>219</v>
      </c>
      <c r="H27" s="649"/>
      <c r="I27" s="650"/>
      <c r="J27" s="355">
        <v>26700</v>
      </c>
      <c r="K27" s="132" t="s">
        <v>156</v>
      </c>
      <c r="L27" s="250" t="s">
        <v>157</v>
      </c>
      <c r="M27" s="35" t="s">
        <v>158</v>
      </c>
    </row>
    <row r="28" spans="3:13" ht="21" customHeight="1" x14ac:dyDescent="0.2">
      <c r="C28" s="63" t="s">
        <v>341</v>
      </c>
      <c r="D28" s="250" t="s">
        <v>159</v>
      </c>
      <c r="E28" s="246" t="s">
        <v>160</v>
      </c>
      <c r="F28" s="45" t="s">
        <v>385</v>
      </c>
      <c r="G28" s="45">
        <f>249.6</f>
        <v>249.6</v>
      </c>
      <c r="H28" s="246" t="s">
        <v>385</v>
      </c>
      <c r="I28" s="246" t="s">
        <v>385</v>
      </c>
      <c r="J28" s="357">
        <v>362420</v>
      </c>
      <c r="K28" s="132" t="s">
        <v>163</v>
      </c>
      <c r="L28" s="21" t="s">
        <v>161</v>
      </c>
      <c r="M28" s="67" t="s">
        <v>162</v>
      </c>
    </row>
    <row r="29" spans="3:13" ht="20.25" customHeight="1" x14ac:dyDescent="0.2">
      <c r="C29" s="63" t="s">
        <v>342</v>
      </c>
      <c r="D29" s="250" t="s">
        <v>220</v>
      </c>
      <c r="E29" s="246" t="s">
        <v>221</v>
      </c>
      <c r="F29" s="45" t="s">
        <v>385</v>
      </c>
      <c r="G29" s="45">
        <v>180</v>
      </c>
      <c r="H29" s="246" t="s">
        <v>385</v>
      </c>
      <c r="I29" s="246" t="s">
        <v>385</v>
      </c>
      <c r="J29" s="357">
        <v>188616</v>
      </c>
      <c r="K29" s="132" t="s">
        <v>163</v>
      </c>
      <c r="L29" s="21" t="s">
        <v>161</v>
      </c>
      <c r="M29" s="67" t="s">
        <v>164</v>
      </c>
    </row>
    <row r="30" spans="3:13" ht="20.25" customHeight="1" x14ac:dyDescent="0.2">
      <c r="C30" s="63" t="s">
        <v>343</v>
      </c>
      <c r="D30" s="250" t="s">
        <v>86</v>
      </c>
      <c r="E30" s="246" t="s">
        <v>261</v>
      </c>
      <c r="F30" s="45" t="s">
        <v>385</v>
      </c>
      <c r="G30" s="45">
        <v>105</v>
      </c>
      <c r="H30" s="246" t="s">
        <v>385</v>
      </c>
      <c r="I30" s="246" t="s">
        <v>385</v>
      </c>
      <c r="J30" s="357">
        <v>120000</v>
      </c>
      <c r="K30" s="132" t="s">
        <v>163</v>
      </c>
      <c r="L30" s="21" t="s">
        <v>161</v>
      </c>
      <c r="M30" s="67" t="s">
        <v>164</v>
      </c>
    </row>
    <row r="31" spans="3:13" ht="15" customHeight="1" x14ac:dyDescent="0.2">
      <c r="C31" s="68" t="s">
        <v>344</v>
      </c>
      <c r="D31" s="250" t="s">
        <v>165</v>
      </c>
      <c r="E31" s="246" t="s">
        <v>166</v>
      </c>
      <c r="F31" s="45">
        <v>37</v>
      </c>
      <c r="G31" s="45" t="s">
        <v>385</v>
      </c>
      <c r="H31" s="246" t="s">
        <v>385</v>
      </c>
      <c r="I31" s="246" t="s">
        <v>385</v>
      </c>
      <c r="J31" s="357">
        <v>50315</v>
      </c>
      <c r="K31" s="132" t="s">
        <v>222</v>
      </c>
      <c r="L31" s="37" t="s">
        <v>225</v>
      </c>
      <c r="M31" s="67" t="s">
        <v>587</v>
      </c>
    </row>
    <row r="32" spans="3:13" ht="15" customHeight="1" x14ac:dyDescent="0.2">
      <c r="C32" s="63" t="s">
        <v>345</v>
      </c>
      <c r="D32" s="654" t="s">
        <v>228</v>
      </c>
      <c r="E32" s="246" t="s">
        <v>167</v>
      </c>
      <c r="F32" s="45" t="s">
        <v>385</v>
      </c>
      <c r="G32" s="45" t="s">
        <v>385</v>
      </c>
      <c r="H32" s="246" t="s">
        <v>385</v>
      </c>
      <c r="I32" s="246">
        <v>248.4</v>
      </c>
      <c r="J32" s="357">
        <v>355043</v>
      </c>
      <c r="K32" s="132" t="s">
        <v>223</v>
      </c>
      <c r="L32" s="250" t="s">
        <v>226</v>
      </c>
      <c r="M32" s="67" t="s">
        <v>224</v>
      </c>
    </row>
    <row r="33" spans="3:13" ht="15" customHeight="1" x14ac:dyDescent="0.2">
      <c r="C33" s="63" t="s">
        <v>346</v>
      </c>
      <c r="D33" s="655"/>
      <c r="E33" s="246" t="s">
        <v>168</v>
      </c>
      <c r="F33" s="45" t="s">
        <v>385</v>
      </c>
      <c r="G33" s="45" t="s">
        <v>385</v>
      </c>
      <c r="H33" s="246" t="s">
        <v>385</v>
      </c>
      <c r="I33" s="246">
        <v>248.4</v>
      </c>
      <c r="J33" s="357">
        <v>355043</v>
      </c>
      <c r="K33" s="132" t="s">
        <v>223</v>
      </c>
      <c r="L33" s="250" t="s">
        <v>226</v>
      </c>
      <c r="M33" s="69" t="s">
        <v>227</v>
      </c>
    </row>
    <row r="34" spans="3:13" ht="15" customHeight="1" x14ac:dyDescent="0.2">
      <c r="C34" s="68" t="s">
        <v>347</v>
      </c>
      <c r="D34" s="246" t="s">
        <v>182</v>
      </c>
      <c r="E34" s="246" t="s">
        <v>183</v>
      </c>
      <c r="F34" s="45">
        <v>50</v>
      </c>
      <c r="G34" s="45" t="s">
        <v>385</v>
      </c>
      <c r="H34" s="246" t="s">
        <v>385</v>
      </c>
      <c r="I34" s="246" t="s">
        <v>385</v>
      </c>
      <c r="J34" s="354">
        <v>63875</v>
      </c>
      <c r="K34" s="133" t="s">
        <v>298</v>
      </c>
      <c r="L34" s="38" t="s">
        <v>231</v>
      </c>
      <c r="M34" s="67" t="s">
        <v>232</v>
      </c>
    </row>
    <row r="35" spans="3:13" ht="15" customHeight="1" x14ac:dyDescent="0.2">
      <c r="C35" s="68" t="s">
        <v>348</v>
      </c>
      <c r="D35" s="98" t="s">
        <v>386</v>
      </c>
      <c r="E35" s="246" t="s">
        <v>387</v>
      </c>
      <c r="F35" s="45" t="s">
        <v>385</v>
      </c>
      <c r="G35" s="45">
        <v>156</v>
      </c>
      <c r="H35" s="246" t="s">
        <v>385</v>
      </c>
      <c r="I35" s="246" t="s">
        <v>385</v>
      </c>
      <c r="J35" s="357">
        <v>190000</v>
      </c>
      <c r="K35" s="133" t="s">
        <v>298</v>
      </c>
      <c r="L35" s="38" t="s">
        <v>422</v>
      </c>
      <c r="M35" s="78" t="s">
        <v>421</v>
      </c>
    </row>
    <row r="36" spans="3:13" ht="18.75" customHeight="1" x14ac:dyDescent="0.2">
      <c r="C36" s="63" t="s">
        <v>349</v>
      </c>
      <c r="D36" s="246" t="s">
        <v>178</v>
      </c>
      <c r="E36" s="246" t="s">
        <v>179</v>
      </c>
      <c r="F36" s="45">
        <v>47</v>
      </c>
      <c r="G36" s="45" t="s">
        <v>385</v>
      </c>
      <c r="H36" s="246" t="s">
        <v>385</v>
      </c>
      <c r="I36" s="246" t="s">
        <v>385</v>
      </c>
      <c r="J36" s="354">
        <v>65000</v>
      </c>
      <c r="K36" s="133" t="s">
        <v>299</v>
      </c>
      <c r="L36" s="250" t="s">
        <v>229</v>
      </c>
      <c r="M36" s="67" t="s">
        <v>230</v>
      </c>
    </row>
    <row r="37" spans="3:13" ht="15" customHeight="1" x14ac:dyDescent="0.2">
      <c r="C37" s="63" t="s">
        <v>350</v>
      </c>
      <c r="D37" s="654" t="s">
        <v>228</v>
      </c>
      <c r="E37" s="246" t="s">
        <v>173</v>
      </c>
      <c r="F37" s="45" t="s">
        <v>385</v>
      </c>
      <c r="G37" s="45" t="s">
        <v>385</v>
      </c>
      <c r="H37" s="246" t="s">
        <v>385</v>
      </c>
      <c r="I37" s="246">
        <v>248.4</v>
      </c>
      <c r="J37" s="354">
        <v>355043</v>
      </c>
      <c r="K37" s="133" t="s">
        <v>299</v>
      </c>
      <c r="L37" s="250" t="s">
        <v>233</v>
      </c>
      <c r="M37" s="67" t="s">
        <v>264</v>
      </c>
    </row>
    <row r="38" spans="3:13" ht="15" customHeight="1" x14ac:dyDescent="0.2">
      <c r="C38" s="63" t="s">
        <v>351</v>
      </c>
      <c r="D38" s="655"/>
      <c r="E38" s="246" t="s">
        <v>174</v>
      </c>
      <c r="F38" s="45" t="s">
        <v>385</v>
      </c>
      <c r="G38" s="45" t="s">
        <v>385</v>
      </c>
      <c r="H38" s="246" t="s">
        <v>385</v>
      </c>
      <c r="I38" s="246">
        <v>248.4</v>
      </c>
      <c r="J38" s="354">
        <v>355043</v>
      </c>
      <c r="K38" s="133" t="s">
        <v>299</v>
      </c>
      <c r="L38" s="250" t="s">
        <v>233</v>
      </c>
      <c r="M38" s="67" t="s">
        <v>265</v>
      </c>
    </row>
    <row r="39" spans="3:13" ht="15" customHeight="1" x14ac:dyDescent="0.2">
      <c r="C39" s="63" t="s">
        <v>352</v>
      </c>
      <c r="D39" s="571" t="s">
        <v>187</v>
      </c>
      <c r="E39" s="246" t="s">
        <v>188</v>
      </c>
      <c r="F39" s="45">
        <v>50</v>
      </c>
      <c r="G39" s="45" t="s">
        <v>385</v>
      </c>
      <c r="H39" s="246" t="s">
        <v>385</v>
      </c>
      <c r="I39" s="246" t="s">
        <v>385</v>
      </c>
      <c r="J39" s="354">
        <v>62000</v>
      </c>
      <c r="K39" s="133" t="s">
        <v>300</v>
      </c>
      <c r="L39" s="250" t="s">
        <v>277</v>
      </c>
      <c r="M39" s="67" t="s">
        <v>276</v>
      </c>
    </row>
    <row r="40" spans="3:13" ht="15" customHeight="1" x14ac:dyDescent="0.2">
      <c r="C40" s="63" t="s">
        <v>353</v>
      </c>
      <c r="D40" s="571"/>
      <c r="E40" s="246" t="s">
        <v>189</v>
      </c>
      <c r="F40" s="45">
        <v>50</v>
      </c>
      <c r="G40" s="45" t="s">
        <v>385</v>
      </c>
      <c r="H40" s="246" t="s">
        <v>385</v>
      </c>
      <c r="I40" s="246" t="s">
        <v>385</v>
      </c>
      <c r="J40" s="354">
        <v>62000</v>
      </c>
      <c r="K40" s="133" t="s">
        <v>300</v>
      </c>
      <c r="L40" s="250" t="s">
        <v>277</v>
      </c>
      <c r="M40" s="67" t="s">
        <v>278</v>
      </c>
    </row>
    <row r="41" spans="3:13" ht="15" customHeight="1" x14ac:dyDescent="0.2">
      <c r="C41" s="63" t="s">
        <v>388</v>
      </c>
      <c r="D41" s="246" t="s">
        <v>185</v>
      </c>
      <c r="E41" s="246" t="s">
        <v>186</v>
      </c>
      <c r="F41" s="45" t="s">
        <v>385</v>
      </c>
      <c r="G41" s="45">
        <v>78</v>
      </c>
      <c r="H41" s="246" t="s">
        <v>385</v>
      </c>
      <c r="I41" s="246" t="s">
        <v>385</v>
      </c>
      <c r="J41" s="354">
        <v>95800</v>
      </c>
      <c r="K41" s="132" t="s">
        <v>423</v>
      </c>
      <c r="L41" s="250" t="s">
        <v>288</v>
      </c>
      <c r="M41" s="67" t="s">
        <v>290</v>
      </c>
    </row>
    <row r="42" spans="3:13" ht="28.5" customHeight="1" x14ac:dyDescent="0.2">
      <c r="C42" s="63" t="s">
        <v>432</v>
      </c>
      <c r="D42" s="250" t="s">
        <v>180</v>
      </c>
      <c r="E42" s="246" t="s">
        <v>181</v>
      </c>
      <c r="F42" s="45" t="s">
        <v>385</v>
      </c>
      <c r="G42" s="45">
        <v>240</v>
      </c>
      <c r="H42" s="669" t="s">
        <v>301</v>
      </c>
      <c r="I42" s="670"/>
      <c r="J42" s="354">
        <v>330000</v>
      </c>
      <c r="K42" s="246" t="s">
        <v>242</v>
      </c>
      <c r="L42" s="250" t="s">
        <v>434</v>
      </c>
      <c r="M42" s="67" t="s">
        <v>433</v>
      </c>
    </row>
    <row r="43" spans="3:13" ht="28.5" customHeight="1" x14ac:dyDescent="0.2">
      <c r="C43" s="331" t="s">
        <v>535</v>
      </c>
      <c r="D43" s="318" t="s">
        <v>279</v>
      </c>
      <c r="E43" s="148" t="s">
        <v>175</v>
      </c>
      <c r="F43" s="148" t="s">
        <v>385</v>
      </c>
      <c r="G43" s="148" t="s">
        <v>385</v>
      </c>
      <c r="H43" s="148" t="s">
        <v>385</v>
      </c>
      <c r="I43" s="149">
        <v>245</v>
      </c>
      <c r="J43" s="355">
        <v>364000</v>
      </c>
      <c r="K43" s="148"/>
      <c r="L43" s="324" t="s">
        <v>541</v>
      </c>
      <c r="M43" s="77" t="s">
        <v>542</v>
      </c>
    </row>
    <row r="44" spans="3:13" ht="28.5" customHeight="1" x14ac:dyDescent="0.2">
      <c r="C44" s="332" t="s">
        <v>536</v>
      </c>
      <c r="D44" s="323" t="s">
        <v>191</v>
      </c>
      <c r="E44" s="318" t="s">
        <v>192</v>
      </c>
      <c r="F44" s="318" t="s">
        <v>385</v>
      </c>
      <c r="G44" s="45">
        <v>156</v>
      </c>
      <c r="H44" s="318" t="s">
        <v>385</v>
      </c>
      <c r="I44" s="318" t="s">
        <v>385</v>
      </c>
      <c r="J44" s="354">
        <v>198875</v>
      </c>
      <c r="K44" s="318"/>
      <c r="L44" s="323" t="s">
        <v>538</v>
      </c>
      <c r="M44" s="321" t="s">
        <v>537</v>
      </c>
    </row>
    <row r="45" spans="3:13" ht="28.5" customHeight="1" x14ac:dyDescent="0.2">
      <c r="C45" s="332" t="s">
        <v>543</v>
      </c>
      <c r="D45" s="571" t="s">
        <v>190</v>
      </c>
      <c r="E45" s="318" t="s">
        <v>427</v>
      </c>
      <c r="F45" s="318" t="s">
        <v>385</v>
      </c>
      <c r="G45" s="45">
        <v>240</v>
      </c>
      <c r="H45" s="318" t="s">
        <v>385</v>
      </c>
      <c r="I45" s="318" t="s">
        <v>385</v>
      </c>
      <c r="J45" s="354">
        <v>262900</v>
      </c>
      <c r="K45" s="318"/>
      <c r="L45" s="323" t="s">
        <v>538</v>
      </c>
      <c r="M45" s="321" t="s">
        <v>539</v>
      </c>
    </row>
    <row r="46" spans="3:13" ht="28.5" customHeight="1" x14ac:dyDescent="0.2">
      <c r="C46" s="332" t="s">
        <v>544</v>
      </c>
      <c r="D46" s="571"/>
      <c r="E46" s="318" t="s">
        <v>428</v>
      </c>
      <c r="F46" s="318" t="s">
        <v>385</v>
      </c>
      <c r="G46" s="45">
        <v>240</v>
      </c>
      <c r="H46" s="318" t="s">
        <v>385</v>
      </c>
      <c r="I46" s="318" t="s">
        <v>385</v>
      </c>
      <c r="J46" s="354">
        <v>262900</v>
      </c>
      <c r="K46" s="318"/>
      <c r="L46" s="323" t="s">
        <v>538</v>
      </c>
      <c r="M46" s="321" t="s">
        <v>540</v>
      </c>
    </row>
    <row r="47" spans="3:13" ht="18" customHeight="1" thickBot="1" x14ac:dyDescent="0.25">
      <c r="C47" s="678" t="s">
        <v>169</v>
      </c>
      <c r="D47" s="679"/>
      <c r="E47" s="680"/>
      <c r="F47" s="70">
        <f>SUM(F5:F46)</f>
        <v>659.71499999999992</v>
      </c>
      <c r="G47" s="70">
        <f>SUM(G5:G46)</f>
        <v>2537.31</v>
      </c>
      <c r="H47" s="70">
        <f>SUM(H5:H46)</f>
        <v>0</v>
      </c>
      <c r="I47" s="70">
        <f>SUM(I5:I46)</f>
        <v>1496.58</v>
      </c>
      <c r="J47" s="359">
        <f>SUM(J5:J46)-J27</f>
        <v>5983641</v>
      </c>
      <c r="K47" s="71"/>
      <c r="L47" s="72"/>
      <c r="M47" s="73"/>
    </row>
    <row r="48" spans="3:13" ht="16.5" customHeight="1" thickBot="1" x14ac:dyDescent="0.25">
      <c r="C48" s="624" t="s">
        <v>431</v>
      </c>
      <c r="D48" s="625"/>
      <c r="E48" s="625"/>
      <c r="F48" s="626">
        <f>F47+G47+I47</f>
        <v>4693.6049999999996</v>
      </c>
      <c r="G48" s="626"/>
      <c r="H48" s="626"/>
      <c r="I48" s="627"/>
      <c r="J48" s="60"/>
    </row>
    <row r="49" spans="3:18" ht="13.5" customHeight="1" x14ac:dyDescent="0.2">
      <c r="C49">
        <v>42</v>
      </c>
      <c r="I49" s="34"/>
    </row>
    <row r="50" spans="3:18" ht="13.5" customHeight="1" x14ac:dyDescent="0.2"/>
    <row r="51" spans="3:18" ht="13.5" customHeight="1" x14ac:dyDescent="0.2"/>
    <row r="52" spans="3:18" ht="13.5" customHeight="1" thickBot="1" x14ac:dyDescent="0.25"/>
    <row r="53" spans="3:18" ht="13.5" customHeight="1" x14ac:dyDescent="0.2">
      <c r="C53" s="656" t="s">
        <v>444</v>
      </c>
      <c r="D53" s="657"/>
      <c r="E53" s="657"/>
      <c r="F53" s="657"/>
      <c r="G53" s="657"/>
      <c r="H53" s="657"/>
      <c r="I53" s="657"/>
      <c r="J53" s="657"/>
      <c r="K53" s="657"/>
      <c r="L53" s="658"/>
      <c r="M53" s="75"/>
    </row>
    <row r="54" spans="3:18" ht="13.5" customHeight="1" thickBot="1" x14ac:dyDescent="0.25">
      <c r="C54" s="659"/>
      <c r="D54" s="660"/>
      <c r="E54" s="660"/>
      <c r="F54" s="660"/>
      <c r="G54" s="660"/>
      <c r="H54" s="660"/>
      <c r="I54" s="660"/>
      <c r="J54" s="660"/>
      <c r="K54" s="660"/>
      <c r="L54" s="661"/>
      <c r="M54" s="76"/>
    </row>
    <row r="55" spans="3:18" ht="33" customHeight="1" x14ac:dyDescent="0.2">
      <c r="C55" s="662" t="s">
        <v>82</v>
      </c>
      <c r="D55" s="647" t="s">
        <v>83</v>
      </c>
      <c r="E55" s="647" t="s">
        <v>354</v>
      </c>
      <c r="F55" s="647" t="s">
        <v>442</v>
      </c>
      <c r="G55" s="647"/>
      <c r="H55" s="647"/>
      <c r="I55" s="74" t="s">
        <v>443</v>
      </c>
      <c r="J55" s="647" t="s">
        <v>213</v>
      </c>
      <c r="K55" s="665" t="s">
        <v>234</v>
      </c>
      <c r="L55" s="674" t="s">
        <v>356</v>
      </c>
      <c r="M55" s="1"/>
      <c r="N55" s="47"/>
      <c r="O55" s="47"/>
      <c r="P55" s="1"/>
      <c r="Q55" s="1"/>
      <c r="R55" s="41"/>
    </row>
    <row r="56" spans="3:18" ht="42.75" customHeight="1" x14ac:dyDescent="0.2">
      <c r="C56" s="663"/>
      <c r="D56" s="664"/>
      <c r="E56" s="664"/>
      <c r="F56" s="156" t="s">
        <v>445</v>
      </c>
      <c r="G56" s="156" t="s">
        <v>450</v>
      </c>
      <c r="H56" s="156" t="s">
        <v>447</v>
      </c>
      <c r="I56" s="156" t="s">
        <v>449</v>
      </c>
      <c r="J56" s="664"/>
      <c r="K56" s="647"/>
      <c r="L56" s="675"/>
      <c r="N56" s="47"/>
      <c r="O56" s="47"/>
      <c r="P56" s="1"/>
      <c r="Q56" s="1"/>
      <c r="R56" s="41"/>
    </row>
    <row r="57" spans="3:18" ht="16.5" customHeight="1" x14ac:dyDescent="0.2">
      <c r="C57" s="44" t="s">
        <v>202</v>
      </c>
      <c r="D57" s="51" t="s">
        <v>279</v>
      </c>
      <c r="E57" s="50" t="s">
        <v>175</v>
      </c>
      <c r="F57" s="648" t="s">
        <v>578</v>
      </c>
      <c r="G57" s="649"/>
      <c r="H57" s="650"/>
      <c r="I57" s="149"/>
      <c r="J57" s="355"/>
      <c r="K57" s="126" t="s">
        <v>235</v>
      </c>
      <c r="L57" s="77" t="s">
        <v>281</v>
      </c>
      <c r="N57" s="24"/>
      <c r="O57" s="24"/>
    </row>
    <row r="58" spans="3:18" ht="16.5" customHeight="1" x14ac:dyDescent="0.2">
      <c r="C58" s="44" t="s">
        <v>266</v>
      </c>
      <c r="D58" s="51" t="s">
        <v>176</v>
      </c>
      <c r="E58" s="51" t="s">
        <v>177</v>
      </c>
      <c r="F58" s="148" t="s">
        <v>385</v>
      </c>
      <c r="G58" s="148" t="s">
        <v>385</v>
      </c>
      <c r="H58" s="148" t="s">
        <v>385</v>
      </c>
      <c r="I58" s="45">
        <v>240</v>
      </c>
      <c r="J58" s="354">
        <v>295450</v>
      </c>
      <c r="K58" s="126" t="s">
        <v>237</v>
      </c>
      <c r="L58" s="78" t="s">
        <v>236</v>
      </c>
      <c r="N58" s="24"/>
      <c r="O58" s="24"/>
    </row>
    <row r="59" spans="3:18" ht="14.25" customHeight="1" x14ac:dyDescent="0.2">
      <c r="C59" s="44" t="s">
        <v>267</v>
      </c>
      <c r="D59" s="483" t="s">
        <v>184</v>
      </c>
      <c r="E59" s="51" t="s">
        <v>425</v>
      </c>
      <c r="F59" s="148" t="s">
        <v>385</v>
      </c>
      <c r="G59" s="148" t="s">
        <v>385</v>
      </c>
      <c r="H59" s="148" t="s">
        <v>385</v>
      </c>
      <c r="I59" s="149">
        <v>249.57</v>
      </c>
      <c r="J59" s="354">
        <v>303900</v>
      </c>
      <c r="K59" s="126" t="s">
        <v>241</v>
      </c>
      <c r="L59" s="78" t="s">
        <v>239</v>
      </c>
      <c r="N59" s="24"/>
      <c r="O59" s="24"/>
    </row>
    <row r="60" spans="3:18" ht="14.25" customHeight="1" x14ac:dyDescent="0.2">
      <c r="C60" s="44" t="s">
        <v>308</v>
      </c>
      <c r="D60" s="483"/>
      <c r="E60" s="51" t="s">
        <v>426</v>
      </c>
      <c r="F60" s="148" t="s">
        <v>385</v>
      </c>
      <c r="G60" s="148" t="s">
        <v>385</v>
      </c>
      <c r="H60" s="148" t="s">
        <v>385</v>
      </c>
      <c r="I60" s="149">
        <v>249.57</v>
      </c>
      <c r="J60" s="354">
        <v>303900</v>
      </c>
      <c r="K60" s="126" t="s">
        <v>241</v>
      </c>
      <c r="L60" s="78" t="s">
        <v>240</v>
      </c>
      <c r="N60" s="24"/>
      <c r="O60" s="24"/>
    </row>
    <row r="61" spans="3:18" ht="14.25" customHeight="1" x14ac:dyDescent="0.2">
      <c r="C61" s="44" t="s">
        <v>309</v>
      </c>
      <c r="D61" s="654" t="s">
        <v>190</v>
      </c>
      <c r="E61" s="50" t="s">
        <v>427</v>
      </c>
      <c r="F61" s="648" t="s">
        <v>578</v>
      </c>
      <c r="G61" s="649"/>
      <c r="H61" s="650"/>
      <c r="I61" s="50"/>
      <c r="J61" s="355"/>
      <c r="K61" s="126" t="s">
        <v>500</v>
      </c>
      <c r="L61" s="67" t="s">
        <v>287</v>
      </c>
      <c r="N61" s="24"/>
      <c r="O61" s="24"/>
    </row>
    <row r="62" spans="3:18" ht="14.25" customHeight="1" x14ac:dyDescent="0.2">
      <c r="C62" s="44" t="s">
        <v>310</v>
      </c>
      <c r="D62" s="668"/>
      <c r="E62" s="50" t="s">
        <v>428</v>
      </c>
      <c r="F62" s="648" t="s">
        <v>578</v>
      </c>
      <c r="G62" s="649"/>
      <c r="H62" s="650"/>
      <c r="I62" s="50"/>
      <c r="J62" s="355"/>
      <c r="K62" s="126" t="s">
        <v>501</v>
      </c>
      <c r="L62" s="79" t="s">
        <v>289</v>
      </c>
      <c r="N62" s="24"/>
      <c r="O62" s="24"/>
    </row>
    <row r="63" spans="3:18" ht="19.5" customHeight="1" x14ac:dyDescent="0.2">
      <c r="C63" s="16" t="s">
        <v>499</v>
      </c>
      <c r="D63" s="52" t="s">
        <v>191</v>
      </c>
      <c r="E63" s="51" t="s">
        <v>192</v>
      </c>
      <c r="F63" s="648" t="s">
        <v>578</v>
      </c>
      <c r="G63" s="649"/>
      <c r="H63" s="650"/>
      <c r="I63" s="50"/>
      <c r="J63" s="356"/>
      <c r="K63" s="127" t="s">
        <v>502</v>
      </c>
      <c r="L63" s="67" t="s">
        <v>482</v>
      </c>
      <c r="N63" s="24"/>
      <c r="O63" s="24"/>
    </row>
    <row r="64" spans="3:18" ht="19.5" customHeight="1" x14ac:dyDescent="0.2">
      <c r="C64" s="279" t="s">
        <v>319</v>
      </c>
      <c r="D64" s="654" t="s">
        <v>193</v>
      </c>
      <c r="E64" s="246" t="s">
        <v>496</v>
      </c>
      <c r="F64" s="45">
        <v>46.8</v>
      </c>
      <c r="G64" s="45" t="s">
        <v>385</v>
      </c>
      <c r="H64" s="246" t="s">
        <v>385</v>
      </c>
      <c r="I64" s="246" t="s">
        <v>385</v>
      </c>
      <c r="J64" s="360">
        <v>72500</v>
      </c>
      <c r="K64" s="249" t="s">
        <v>506</v>
      </c>
      <c r="L64" s="280" t="s">
        <v>504</v>
      </c>
      <c r="N64" s="24"/>
      <c r="O64" s="24"/>
    </row>
    <row r="65" spans="2:16" ht="19.5" customHeight="1" x14ac:dyDescent="0.2">
      <c r="C65" s="279" t="s">
        <v>326</v>
      </c>
      <c r="D65" s="655"/>
      <c r="E65" s="246" t="s">
        <v>497</v>
      </c>
      <c r="F65" s="45">
        <v>46.8</v>
      </c>
      <c r="G65" s="45" t="s">
        <v>385</v>
      </c>
      <c r="H65" s="246" t="s">
        <v>385</v>
      </c>
      <c r="I65" s="246" t="s">
        <v>385</v>
      </c>
      <c r="J65" s="360">
        <v>72500</v>
      </c>
      <c r="K65" s="249" t="s">
        <v>506</v>
      </c>
      <c r="L65" s="280" t="s">
        <v>507</v>
      </c>
      <c r="N65" s="24"/>
      <c r="O65" s="24"/>
    </row>
    <row r="66" spans="2:16" ht="19.5" customHeight="1" x14ac:dyDescent="0.2">
      <c r="C66" s="279" t="s">
        <v>327</v>
      </c>
      <c r="D66" s="250" t="s">
        <v>194</v>
      </c>
      <c r="E66" s="246" t="s">
        <v>498</v>
      </c>
      <c r="F66" s="158" t="s">
        <v>385</v>
      </c>
      <c r="G66" s="412" t="s">
        <v>385</v>
      </c>
      <c r="H66" s="246" t="s">
        <v>385</v>
      </c>
      <c r="I66" s="159">
        <v>249.6</v>
      </c>
      <c r="J66" s="360">
        <v>108109</v>
      </c>
      <c r="K66" s="249" t="s">
        <v>505</v>
      </c>
      <c r="L66" s="280" t="s">
        <v>503</v>
      </c>
      <c r="N66" s="24"/>
      <c r="O66" s="24"/>
    </row>
    <row r="67" spans="2:16" ht="21" customHeight="1" thickBot="1" x14ac:dyDescent="0.25">
      <c r="C67" s="651" t="s">
        <v>195</v>
      </c>
      <c r="D67" s="652"/>
      <c r="E67" s="653"/>
      <c r="F67" s="81">
        <f>SUM(F57:F66)</f>
        <v>93.6</v>
      </c>
      <c r="G67" s="81">
        <f>SUM(G57:G66)</f>
        <v>0</v>
      </c>
      <c r="H67" s="150">
        <f>SUM(H57:H66)</f>
        <v>0</v>
      </c>
      <c r="I67" s="81">
        <f>SUM(I57:I66)</f>
        <v>988.74</v>
      </c>
      <c r="J67" s="353">
        <f>SUM(J57:J66)</f>
        <v>1156359</v>
      </c>
      <c r="K67" s="666"/>
      <c r="L67" s="667"/>
      <c r="M67" s="27"/>
      <c r="N67" s="23"/>
      <c r="O67" s="24"/>
      <c r="P67" s="24"/>
    </row>
    <row r="68" spans="2:16" s="28" customFormat="1" ht="16.5" customHeight="1" thickBot="1" x14ac:dyDescent="0.25">
      <c r="C68" s="624" t="s">
        <v>431</v>
      </c>
      <c r="D68" s="625"/>
      <c r="E68" s="625"/>
      <c r="F68" s="626">
        <f>F67+G67+I67</f>
        <v>1082.3399999999999</v>
      </c>
      <c r="G68" s="626"/>
      <c r="H68" s="626"/>
      <c r="I68" s="627"/>
      <c r="J68" s="25"/>
      <c r="K68" s="26"/>
      <c r="L68" s="24"/>
      <c r="M68" s="27"/>
      <c r="N68" s="24"/>
      <c r="O68" s="24"/>
    </row>
    <row r="69" spans="2:16" s="28" customFormat="1" x14ac:dyDescent="0.2">
      <c r="C69" s="10">
        <f>COUNT(J57:J66)</f>
        <v>6</v>
      </c>
      <c r="D69" s="25"/>
      <c r="E69" s="25"/>
      <c r="F69" s="25"/>
      <c r="G69" s="25"/>
      <c r="H69" s="25"/>
      <c r="I69" s="333"/>
      <c r="J69" s="333"/>
      <c r="K69" s="26"/>
      <c r="L69" s="24"/>
      <c r="M69" s="27"/>
      <c r="N69" s="24"/>
      <c r="O69" s="24"/>
    </row>
    <row r="70" spans="2:16" s="28" customFormat="1" x14ac:dyDescent="0.2">
      <c r="C70" s="10"/>
      <c r="D70" s="29"/>
      <c r="E70" s="30"/>
      <c r="F70" s="31"/>
      <c r="G70" s="31"/>
      <c r="H70" s="31"/>
      <c r="I70" s="31"/>
      <c r="J70" s="31"/>
      <c r="K70" s="26"/>
      <c r="L70" s="24"/>
      <c r="M70" s="27"/>
      <c r="N70" s="24"/>
      <c r="O70" s="24"/>
    </row>
    <row r="71" spans="2:16" s="28" customFormat="1" ht="13.5" thickBot="1" x14ac:dyDescent="0.25">
      <c r="C71" s="425">
        <f>C49+C69</f>
        <v>48</v>
      </c>
      <c r="D71" s="29"/>
      <c r="E71" s="30"/>
      <c r="F71" s="31"/>
      <c r="G71" s="31"/>
      <c r="H71" s="31"/>
      <c r="I71" s="31"/>
      <c r="J71" s="31"/>
      <c r="K71" s="24"/>
      <c r="L71" s="24"/>
      <c r="M71" s="27"/>
      <c r="N71" s="24"/>
      <c r="O71" s="24"/>
    </row>
    <row r="72" spans="2:16" s="28" customFormat="1" ht="32.25" customHeight="1" thickBot="1" x14ac:dyDescent="0.25">
      <c r="C72" s="636" t="s">
        <v>451</v>
      </c>
      <c r="D72" s="637"/>
      <c r="E72" s="637"/>
      <c r="F72" s="637"/>
      <c r="G72" s="637"/>
      <c r="H72" s="637"/>
      <c r="I72" s="637"/>
      <c r="J72" s="638"/>
    </row>
    <row r="73" spans="2:16" ht="24.75" customHeight="1" x14ac:dyDescent="0.2">
      <c r="C73" s="163" t="s">
        <v>307</v>
      </c>
      <c r="D73" s="633" t="s">
        <v>452</v>
      </c>
      <c r="E73" s="634"/>
      <c r="F73" s="635"/>
      <c r="G73" s="95" t="s">
        <v>40</v>
      </c>
      <c r="H73" s="95" t="s">
        <v>41</v>
      </c>
      <c r="I73" s="95" t="s">
        <v>42</v>
      </c>
      <c r="J73" s="96" t="s">
        <v>43</v>
      </c>
      <c r="K73" s="1"/>
      <c r="L73" s="1"/>
    </row>
    <row r="74" spans="2:16" ht="24.75" customHeight="1" x14ac:dyDescent="0.2">
      <c r="C74" s="161" t="s">
        <v>202</v>
      </c>
      <c r="D74" s="630" t="s">
        <v>458</v>
      </c>
      <c r="E74" s="631"/>
      <c r="F74" s="632"/>
      <c r="G74" s="176">
        <v>7140000</v>
      </c>
      <c r="H74" s="176">
        <v>7140000</v>
      </c>
      <c r="I74" s="176">
        <v>7140000</v>
      </c>
      <c r="J74" s="177">
        <v>7140000</v>
      </c>
      <c r="K74" s="1"/>
      <c r="L74" s="1"/>
    </row>
    <row r="75" spans="2:16" ht="24.75" customHeight="1" x14ac:dyDescent="0.2">
      <c r="C75" s="160" t="s">
        <v>266</v>
      </c>
      <c r="D75" s="628" t="s">
        <v>379</v>
      </c>
      <c r="E75" s="629"/>
      <c r="F75" s="512"/>
      <c r="G75" s="178">
        <v>4894966</v>
      </c>
      <c r="H75" s="178">
        <v>4894966</v>
      </c>
      <c r="I75" s="178">
        <v>4894966</v>
      </c>
      <c r="J75" s="179">
        <v>4894966</v>
      </c>
      <c r="K75" s="281"/>
      <c r="L75" s="1"/>
    </row>
    <row r="76" spans="2:16" ht="24.75" customHeight="1" x14ac:dyDescent="0.2">
      <c r="C76" s="160" t="s">
        <v>267</v>
      </c>
      <c r="D76" s="628" t="s">
        <v>380</v>
      </c>
      <c r="E76" s="629"/>
      <c r="F76" s="512"/>
      <c r="G76" s="180">
        <f>J67</f>
        <v>1156359</v>
      </c>
      <c r="H76" s="180">
        <v>2245034</v>
      </c>
      <c r="I76" s="180">
        <v>2245034</v>
      </c>
      <c r="J76" s="181">
        <v>2245034</v>
      </c>
      <c r="K76" s="281"/>
      <c r="L76" s="1"/>
      <c r="M76" s="32"/>
    </row>
    <row r="77" spans="2:16" ht="24.75" customHeight="1" x14ac:dyDescent="0.2">
      <c r="C77" s="162" t="s">
        <v>308</v>
      </c>
      <c r="D77" s="630" t="s">
        <v>459</v>
      </c>
      <c r="E77" s="631"/>
      <c r="F77" s="632"/>
      <c r="G77" s="176">
        <f>G75+G76</f>
        <v>6051325</v>
      </c>
      <c r="H77" s="176">
        <v>7140000</v>
      </c>
      <c r="I77" s="176">
        <v>7140000</v>
      </c>
      <c r="J77" s="177">
        <v>7140000</v>
      </c>
      <c r="K77" s="1"/>
      <c r="L77" s="1"/>
    </row>
    <row r="78" spans="2:16" ht="24.75" customHeight="1" thickBot="1" x14ac:dyDescent="0.25">
      <c r="C78" s="325" t="s">
        <v>309</v>
      </c>
      <c r="D78" s="620" t="s">
        <v>381</v>
      </c>
      <c r="E78" s="621"/>
      <c r="F78" s="622"/>
      <c r="G78" s="182">
        <f>G74-G77</f>
        <v>1088675</v>
      </c>
      <c r="H78" s="182">
        <v>0</v>
      </c>
      <c r="I78" s="182">
        <v>0</v>
      </c>
      <c r="J78" s="326">
        <v>0</v>
      </c>
      <c r="K78" s="1"/>
      <c r="L78" s="1"/>
    </row>
    <row r="79" spans="2:16" ht="13.5" customHeight="1" x14ac:dyDescent="0.2">
      <c r="B79" s="1"/>
      <c r="C79" s="623"/>
      <c r="D79" s="623"/>
      <c r="E79" s="623"/>
      <c r="F79" s="623"/>
      <c r="G79" s="623"/>
      <c r="H79" s="623"/>
      <c r="I79" s="623"/>
      <c r="J79" s="623"/>
      <c r="K79" s="1"/>
      <c r="L79" s="1"/>
    </row>
    <row r="80" spans="2:16" ht="24.75" customHeight="1" x14ac:dyDescent="0.2">
      <c r="B80" s="118"/>
      <c r="C80" s="108"/>
      <c r="D80" s="119"/>
      <c r="E80" s="119"/>
      <c r="F80" s="120"/>
      <c r="G80" s="120"/>
      <c r="H80" s="120"/>
      <c r="I80" s="120"/>
      <c r="J80" s="120"/>
      <c r="K80" s="1"/>
      <c r="L80" s="1"/>
    </row>
    <row r="81" spans="3:12" x14ac:dyDescent="0.2">
      <c r="C81" s="1"/>
      <c r="D81" s="1"/>
      <c r="E81" s="1"/>
      <c r="K81" s="1"/>
      <c r="L81" s="1"/>
    </row>
    <row r="82" spans="3:12" x14ac:dyDescent="0.2">
      <c r="C82" s="1"/>
      <c r="D82" s="1"/>
      <c r="E82" s="1"/>
      <c r="K82" s="1"/>
      <c r="L82" s="1"/>
    </row>
    <row r="83" spans="3:12" ht="22.5" customHeight="1" x14ac:dyDescent="0.2">
      <c r="C83" s="1"/>
      <c r="D83" s="1"/>
      <c r="E83" s="1"/>
      <c r="K83" s="1"/>
      <c r="L83" s="1"/>
    </row>
    <row r="85" spans="3:12" ht="22.5" customHeight="1" x14ac:dyDescent="0.2"/>
    <row r="87" spans="3:12" ht="33" customHeight="1" x14ac:dyDescent="0.2"/>
    <row r="91" spans="3:12" ht="31.5" customHeight="1" x14ac:dyDescent="0.2"/>
    <row r="92" spans="3:12" ht="16.5" customHeight="1" x14ac:dyDescent="0.2"/>
    <row r="94" spans="3:12" ht="24" customHeight="1" x14ac:dyDescent="0.2"/>
    <row r="103" spans="6:8" x14ac:dyDescent="0.2">
      <c r="F103" s="33"/>
      <c r="H103" s="34"/>
    </row>
    <row r="105" spans="6:8" x14ac:dyDescent="0.2">
      <c r="F105" s="34"/>
    </row>
    <row r="108" spans="6:8" x14ac:dyDescent="0.2">
      <c r="F108" s="33"/>
    </row>
  </sheetData>
  <mergeCells count="48">
    <mergeCell ref="H42:I42"/>
    <mergeCell ref="F57:H57"/>
    <mergeCell ref="C2:M2"/>
    <mergeCell ref="F3:H3"/>
    <mergeCell ref="H8:I8"/>
    <mergeCell ref="L55:L56"/>
    <mergeCell ref="D32:D33"/>
    <mergeCell ref="C3:C4"/>
    <mergeCell ref="E3:E4"/>
    <mergeCell ref="D3:D4"/>
    <mergeCell ref="G27:I27"/>
    <mergeCell ref="D37:D38"/>
    <mergeCell ref="C48:E48"/>
    <mergeCell ref="C47:E47"/>
    <mergeCell ref="D45:D46"/>
    <mergeCell ref="F48:I48"/>
    <mergeCell ref="F55:H55"/>
    <mergeCell ref="D39:D40"/>
    <mergeCell ref="F61:H61"/>
    <mergeCell ref="F62:H62"/>
    <mergeCell ref="C67:E67"/>
    <mergeCell ref="D64:D65"/>
    <mergeCell ref="C53:L54"/>
    <mergeCell ref="C55:C56"/>
    <mergeCell ref="D55:D56"/>
    <mergeCell ref="E55:E56"/>
    <mergeCell ref="D59:D60"/>
    <mergeCell ref="K55:K56"/>
    <mergeCell ref="J55:J56"/>
    <mergeCell ref="K67:L67"/>
    <mergeCell ref="D61:D62"/>
    <mergeCell ref="F63:H63"/>
    <mergeCell ref="D17:D18"/>
    <mergeCell ref="M3:M4"/>
    <mergeCell ref="L3:L4"/>
    <mergeCell ref="J3:J4"/>
    <mergeCell ref="D19:D20"/>
    <mergeCell ref="K3:K4"/>
    <mergeCell ref="D78:F78"/>
    <mergeCell ref="C79:J79"/>
    <mergeCell ref="C68:E68"/>
    <mergeCell ref="F68:I68"/>
    <mergeCell ref="D75:F75"/>
    <mergeCell ref="D76:F76"/>
    <mergeCell ref="D77:F77"/>
    <mergeCell ref="D73:F73"/>
    <mergeCell ref="D74:F74"/>
    <mergeCell ref="C72:J72"/>
  </mergeCells>
  <hyperlinks>
    <hyperlink ref="M14" r:id="rId1"/>
    <hyperlink ref="M13" r:id="rId2"/>
    <hyperlink ref="M12" r:id="rId3"/>
    <hyperlink ref="M11" r:id="rId4"/>
    <hyperlink ref="M9" r:id="rId5"/>
    <hyperlink ref="M10" r:id="rId6"/>
    <hyperlink ref="M7" r:id="rId7"/>
    <hyperlink ref="M5" r:id="rId8"/>
    <hyperlink ref="M8" r:id="rId9"/>
    <hyperlink ref="M6" r:id="rId10"/>
    <hyperlink ref="M15" r:id="rId11"/>
    <hyperlink ref="M16" r:id="rId12"/>
    <hyperlink ref="M20" r:id="rId13"/>
    <hyperlink ref="M19" r:id="rId14"/>
    <hyperlink ref="M18" r:id="rId15"/>
    <hyperlink ref="M17" r:id="rId16"/>
    <hyperlink ref="M22" r:id="rId17"/>
    <hyperlink ref="M21" r:id="rId18"/>
    <hyperlink ref="M24" r:id="rId19"/>
    <hyperlink ref="M25" r:id="rId20"/>
    <hyperlink ref="M26" r:id="rId21"/>
    <hyperlink ref="M23" r:id="rId22" display="01-505-19/14/Р-100-6                                                              "/>
    <hyperlink ref="M29" r:id="rId23"/>
    <hyperlink ref="M30" r:id="rId24"/>
    <hyperlink ref="M28" r:id="rId25"/>
    <hyperlink ref="M31" r:id="rId26"/>
    <hyperlink ref="M32" r:id="rId27"/>
    <hyperlink ref="M33" r:id="rId28"/>
    <hyperlink ref="M36" r:id="rId29"/>
    <hyperlink ref="M34" r:id="rId30"/>
    <hyperlink ref="L58" r:id="rId31"/>
    <hyperlink ref="L59" r:id="rId32"/>
    <hyperlink ref="L60" r:id="rId33"/>
    <hyperlink ref="M37" r:id="rId34"/>
    <hyperlink ref="M38" r:id="rId35"/>
    <hyperlink ref="M39" r:id="rId36"/>
    <hyperlink ref="M40" r:id="rId37"/>
    <hyperlink ref="L57" r:id="rId38"/>
    <hyperlink ref="L61" r:id="rId39"/>
    <hyperlink ref="M35" r:id="rId40"/>
    <hyperlink ref="M42" r:id="rId41"/>
    <hyperlink ref="L63" r:id="rId42"/>
    <hyperlink ref="L66" r:id="rId43"/>
    <hyperlink ref="L64" r:id="rId44"/>
    <hyperlink ref="L65" r:id="rId45"/>
    <hyperlink ref="M44" r:id="rId46"/>
    <hyperlink ref="M45" r:id="rId47"/>
    <hyperlink ref="M46" r:id="rId48"/>
    <hyperlink ref="M43" r:id="rId49"/>
  </hyperlinks>
  <printOptions verticalCentered="1"/>
  <pageMargins left="0.39370078740157483" right="0.39370078740157483" top="0.59055118110236227" bottom="0.39370078740157483" header="0.51181102362204722" footer="0.51181102362204722"/>
  <pageSetup paperSize="8" scale="49" orientation="landscape" r:id="rId50"/>
  <headerFooter alignWithMargins="0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L30"/>
  <sheetViews>
    <sheetView topLeftCell="B18" zoomScaleNormal="100" workbookViewId="0">
      <selection activeCell="J21" sqref="J21"/>
    </sheetView>
  </sheetViews>
  <sheetFormatPr defaultRowHeight="12.75" x14ac:dyDescent="0.2"/>
  <cols>
    <col min="1" max="1" width="6.85546875" customWidth="1"/>
    <col min="2" max="2" width="8.7109375" customWidth="1"/>
    <col min="3" max="3" width="21.5703125" customWidth="1"/>
    <col min="4" max="4" width="23.7109375" customWidth="1"/>
    <col min="5" max="8" width="15.140625" customWidth="1"/>
    <col min="9" max="9" width="20.140625" customWidth="1"/>
    <col min="10" max="10" width="23.28515625" customWidth="1"/>
    <col min="11" max="11" width="13.7109375" customWidth="1"/>
    <col min="12" max="12" width="14.42578125" customWidth="1"/>
    <col min="13" max="13" width="12.7109375" customWidth="1"/>
  </cols>
  <sheetData>
    <row r="2" spans="2:12" ht="13.5" thickBot="1" x14ac:dyDescent="0.25"/>
    <row r="3" spans="2:12" ht="27" customHeight="1" x14ac:dyDescent="0.2">
      <c r="B3" s="706" t="s">
        <v>360</v>
      </c>
      <c r="C3" s="707"/>
      <c r="D3" s="707"/>
      <c r="E3" s="707"/>
      <c r="F3" s="707"/>
      <c r="G3" s="707"/>
      <c r="H3" s="707"/>
      <c r="I3" s="707"/>
      <c r="J3" s="708"/>
      <c r="K3" s="76"/>
    </row>
    <row r="4" spans="2:12" ht="12.75" customHeight="1" x14ac:dyDescent="0.2">
      <c r="B4" s="677" t="s">
        <v>307</v>
      </c>
      <c r="C4" s="642" t="s">
        <v>83</v>
      </c>
      <c r="D4" s="642" t="s">
        <v>354</v>
      </c>
      <c r="E4" s="642" t="s">
        <v>455</v>
      </c>
      <c r="F4" s="705" t="s">
        <v>213</v>
      </c>
      <c r="G4" s="642" t="s">
        <v>211</v>
      </c>
      <c r="H4" s="642" t="s">
        <v>84</v>
      </c>
      <c r="I4" s="642" t="s">
        <v>85</v>
      </c>
      <c r="J4" s="640" t="s">
        <v>249</v>
      </c>
    </row>
    <row r="5" spans="2:12" ht="47.25" customHeight="1" x14ac:dyDescent="0.2">
      <c r="B5" s="677"/>
      <c r="C5" s="642"/>
      <c r="D5" s="642"/>
      <c r="E5" s="642"/>
      <c r="F5" s="646"/>
      <c r="G5" s="642"/>
      <c r="H5" s="642"/>
      <c r="I5" s="642"/>
      <c r="J5" s="640"/>
    </row>
    <row r="6" spans="2:12" ht="16.5" customHeight="1" x14ac:dyDescent="0.2">
      <c r="B6" s="137" t="s">
        <v>202</v>
      </c>
      <c r="C6" s="52"/>
      <c r="D6" s="51"/>
      <c r="E6" s="51"/>
      <c r="F6" s="390"/>
      <c r="G6" s="17"/>
      <c r="H6" s="51"/>
      <c r="I6" s="18"/>
      <c r="J6" s="82"/>
    </row>
    <row r="7" spans="2:12" ht="16.5" customHeight="1" x14ac:dyDescent="0.2">
      <c r="B7" s="138" t="s">
        <v>266</v>
      </c>
      <c r="C7" s="51"/>
      <c r="D7" s="51"/>
      <c r="E7" s="53"/>
      <c r="F7" s="390"/>
      <c r="G7" s="17"/>
      <c r="H7" s="51"/>
      <c r="I7" s="18"/>
      <c r="J7" s="82"/>
    </row>
    <row r="8" spans="2:12" ht="16.5" customHeight="1" x14ac:dyDescent="0.2">
      <c r="B8" s="138" t="s">
        <v>267</v>
      </c>
      <c r="C8" s="51"/>
      <c r="D8" s="51"/>
      <c r="E8" s="53"/>
      <c r="F8" s="390"/>
      <c r="G8" s="17"/>
      <c r="H8" s="51"/>
      <c r="I8" s="7"/>
      <c r="J8" s="82"/>
    </row>
    <row r="9" spans="2:12" ht="16.5" customHeight="1" thickBot="1" x14ac:dyDescent="0.25">
      <c r="B9" s="709" t="s">
        <v>454</v>
      </c>
      <c r="C9" s="621"/>
      <c r="D9" s="622"/>
      <c r="E9" s="139"/>
      <c r="F9" s="392"/>
      <c r="G9" s="140"/>
      <c r="H9" s="141"/>
      <c r="I9" s="142"/>
      <c r="J9" s="143"/>
    </row>
    <row r="11" spans="2:12" ht="13.5" thickBot="1" x14ac:dyDescent="0.25"/>
    <row r="12" spans="2:12" x14ac:dyDescent="0.2">
      <c r="B12" s="681" t="s">
        <v>361</v>
      </c>
      <c r="C12" s="682"/>
      <c r="D12" s="682"/>
      <c r="E12" s="682"/>
      <c r="F12" s="682"/>
      <c r="G12" s="682"/>
      <c r="H12" s="682"/>
      <c r="I12" s="682"/>
      <c r="J12" s="683"/>
      <c r="K12" s="76"/>
      <c r="L12" s="76"/>
    </row>
    <row r="13" spans="2:12" x14ac:dyDescent="0.2">
      <c r="B13" s="684"/>
      <c r="C13" s="685"/>
      <c r="D13" s="685"/>
      <c r="E13" s="685"/>
      <c r="F13" s="685"/>
      <c r="G13" s="685"/>
      <c r="H13" s="685"/>
      <c r="I13" s="685"/>
      <c r="J13" s="686"/>
      <c r="K13" s="76"/>
      <c r="L13" s="76"/>
    </row>
    <row r="14" spans="2:12" ht="57" customHeight="1" x14ac:dyDescent="0.2">
      <c r="B14" s="83" t="s">
        <v>82</v>
      </c>
      <c r="C14" s="125" t="s">
        <v>83</v>
      </c>
      <c r="D14" s="125" t="s">
        <v>170</v>
      </c>
      <c r="E14" s="54" t="s">
        <v>453</v>
      </c>
      <c r="F14" s="358" t="s">
        <v>213</v>
      </c>
      <c r="G14" s="125" t="s">
        <v>171</v>
      </c>
      <c r="H14" s="125" t="s">
        <v>234</v>
      </c>
      <c r="I14" s="125" t="s">
        <v>172</v>
      </c>
      <c r="J14" s="128" t="s">
        <v>24</v>
      </c>
      <c r="K14" s="574"/>
      <c r="L14" s="574"/>
    </row>
    <row r="15" spans="2:12" ht="48" x14ac:dyDescent="0.2">
      <c r="B15" s="84" t="s">
        <v>202</v>
      </c>
      <c r="C15" s="123" t="s">
        <v>424</v>
      </c>
      <c r="D15" s="123" t="s">
        <v>429</v>
      </c>
      <c r="E15" s="123">
        <v>330</v>
      </c>
      <c r="F15" s="354">
        <v>430000</v>
      </c>
      <c r="G15" s="122" t="s">
        <v>456</v>
      </c>
      <c r="H15" s="411" t="s">
        <v>585</v>
      </c>
      <c r="I15" s="121" t="s">
        <v>430</v>
      </c>
      <c r="J15" s="135"/>
      <c r="K15" s="24"/>
      <c r="L15" s="24"/>
    </row>
    <row r="16" spans="2:12" ht="16.5" customHeight="1" x14ac:dyDescent="0.2">
      <c r="B16" s="84" t="s">
        <v>266</v>
      </c>
      <c r="C16" s="334" t="s">
        <v>424</v>
      </c>
      <c r="D16" s="334" t="s">
        <v>550</v>
      </c>
      <c r="E16" s="334">
        <v>254.4</v>
      </c>
      <c r="F16" s="354">
        <v>300000</v>
      </c>
      <c r="G16" s="124" t="s">
        <v>551</v>
      </c>
      <c r="H16" s="124" t="s">
        <v>551</v>
      </c>
      <c r="I16" s="362" t="s">
        <v>552</v>
      </c>
      <c r="J16" s="135"/>
      <c r="K16" s="24"/>
      <c r="L16" s="24"/>
    </row>
    <row r="17" spans="2:12" ht="45" x14ac:dyDescent="0.2">
      <c r="B17" s="84" t="s">
        <v>267</v>
      </c>
      <c r="C17" s="339" t="s">
        <v>553</v>
      </c>
      <c r="D17" s="339" t="s">
        <v>554</v>
      </c>
      <c r="E17" s="343">
        <v>1000</v>
      </c>
      <c r="F17" s="354">
        <v>979445</v>
      </c>
      <c r="G17" s="124" t="s">
        <v>555</v>
      </c>
      <c r="H17" s="124" t="s">
        <v>586</v>
      </c>
      <c r="I17" s="362" t="s">
        <v>556</v>
      </c>
      <c r="J17" s="135"/>
      <c r="K17" s="24"/>
      <c r="L17" s="24"/>
    </row>
    <row r="18" spans="2:12" ht="16.5" customHeight="1" x14ac:dyDescent="0.2">
      <c r="B18" s="84" t="s">
        <v>308</v>
      </c>
      <c r="C18" s="123"/>
      <c r="D18" s="123"/>
      <c r="E18" s="22"/>
      <c r="F18" s="354"/>
      <c r="G18" s="124"/>
      <c r="H18" s="122"/>
      <c r="I18" s="362"/>
      <c r="J18" s="135"/>
      <c r="K18" s="24"/>
      <c r="L18" s="424"/>
    </row>
    <row r="19" spans="2:12" ht="16.5" customHeight="1" thickBot="1" x14ac:dyDescent="0.25">
      <c r="B19" s="361">
        <f>COUNT(F15:F18)</f>
        <v>3</v>
      </c>
      <c r="C19" s="388" t="s">
        <v>454</v>
      </c>
      <c r="D19" s="389"/>
      <c r="E19" s="164">
        <f>SUM(E15:E18)</f>
        <v>1584.4</v>
      </c>
      <c r="F19" s="391">
        <f>SUM(F15:F18)</f>
        <v>1709445</v>
      </c>
      <c r="G19" s="80"/>
      <c r="H19" s="85"/>
      <c r="I19" s="86"/>
      <c r="J19" s="136"/>
      <c r="K19" s="24"/>
      <c r="L19" s="24"/>
    </row>
    <row r="20" spans="2:12" x14ac:dyDescent="0.2">
      <c r="K20" s="28"/>
      <c r="L20" s="28"/>
    </row>
    <row r="21" spans="2:12" ht="21" customHeight="1" thickBot="1" x14ac:dyDescent="0.25">
      <c r="K21" s="28"/>
      <c r="L21" s="28"/>
    </row>
    <row r="22" spans="2:12" ht="21" customHeight="1" x14ac:dyDescent="0.2">
      <c r="B22" s="687" t="s">
        <v>581</v>
      </c>
      <c r="C22" s="688"/>
      <c r="D22" s="688"/>
      <c r="E22" s="688"/>
      <c r="F22" s="688"/>
      <c r="G22" s="688"/>
      <c r="H22" s="688"/>
      <c r="I22" s="689"/>
    </row>
    <row r="23" spans="2:12" ht="21" customHeight="1" thickBot="1" x14ac:dyDescent="0.25">
      <c r="B23" s="690"/>
      <c r="C23" s="691"/>
      <c r="D23" s="691"/>
      <c r="E23" s="691"/>
      <c r="F23" s="691"/>
      <c r="G23" s="691"/>
      <c r="H23" s="691"/>
      <c r="I23" s="692"/>
    </row>
    <row r="24" spans="2:12" ht="24.75" customHeight="1" x14ac:dyDescent="0.2">
      <c r="B24" s="183" t="s">
        <v>307</v>
      </c>
      <c r="C24" s="693" t="s">
        <v>357</v>
      </c>
      <c r="D24" s="694"/>
      <c r="E24" s="695"/>
      <c r="F24" s="184" t="s">
        <v>40</v>
      </c>
      <c r="G24" s="184" t="s">
        <v>41</v>
      </c>
      <c r="H24" s="184" t="s">
        <v>42</v>
      </c>
      <c r="I24" s="185" t="s">
        <v>43</v>
      </c>
    </row>
    <row r="25" spans="2:12" ht="24.75" customHeight="1" x14ac:dyDescent="0.2">
      <c r="B25" s="165" t="s">
        <v>202</v>
      </c>
      <c r="C25" s="696" t="s">
        <v>458</v>
      </c>
      <c r="D25" s="697"/>
      <c r="E25" s="698"/>
      <c r="F25" s="168">
        <v>590000</v>
      </c>
      <c r="G25" s="168">
        <v>1190000</v>
      </c>
      <c r="H25" s="168">
        <v>1780000</v>
      </c>
      <c r="I25" s="169">
        <v>2380000</v>
      </c>
    </row>
    <row r="26" spans="2:12" ht="24.75" customHeight="1" x14ac:dyDescent="0.2">
      <c r="B26" s="167" t="s">
        <v>266</v>
      </c>
      <c r="C26" s="699" t="s">
        <v>460</v>
      </c>
      <c r="D26" s="700"/>
      <c r="E26" s="701"/>
      <c r="F26" s="170">
        <v>0</v>
      </c>
      <c r="G26" s="170">
        <v>0</v>
      </c>
      <c r="H26" s="170">
        <v>0</v>
      </c>
      <c r="I26" s="171">
        <v>0</v>
      </c>
    </row>
    <row r="27" spans="2:12" ht="24.75" customHeight="1" x14ac:dyDescent="0.2">
      <c r="B27" s="167" t="s">
        <v>267</v>
      </c>
      <c r="C27" s="699" t="s">
        <v>380</v>
      </c>
      <c r="D27" s="700"/>
      <c r="E27" s="701"/>
      <c r="F27" s="170">
        <f>F19-F16</f>
        <v>1409445</v>
      </c>
      <c r="G27" s="170">
        <f>F15+F16+F17</f>
        <v>1709445</v>
      </c>
      <c r="H27" s="170">
        <f>G27</f>
        <v>1709445</v>
      </c>
      <c r="I27" s="171">
        <f>H27</f>
        <v>1709445</v>
      </c>
    </row>
    <row r="28" spans="2:12" ht="24.75" customHeight="1" x14ac:dyDescent="0.2">
      <c r="B28" s="165" t="s">
        <v>308</v>
      </c>
      <c r="C28" s="630" t="s">
        <v>459</v>
      </c>
      <c r="D28" s="631"/>
      <c r="E28" s="632"/>
      <c r="F28" s="172">
        <f t="shared" ref="F28" si="0">F26+F27</f>
        <v>1409445</v>
      </c>
      <c r="G28" s="172">
        <f>G26+G27</f>
        <v>1709445</v>
      </c>
      <c r="H28" s="172">
        <f>H26+H27</f>
        <v>1709445</v>
      </c>
      <c r="I28" s="173">
        <f>I26+I27</f>
        <v>1709445</v>
      </c>
    </row>
    <row r="29" spans="2:12" ht="24.75" customHeight="1" x14ac:dyDescent="0.2">
      <c r="B29" s="167" t="s">
        <v>309</v>
      </c>
      <c r="C29" s="699" t="s">
        <v>457</v>
      </c>
      <c r="D29" s="700"/>
      <c r="E29" s="701"/>
      <c r="F29" s="170">
        <v>0</v>
      </c>
      <c r="G29" s="170">
        <v>0</v>
      </c>
      <c r="H29" s="170">
        <v>0</v>
      </c>
      <c r="I29" s="171">
        <v>0</v>
      </c>
    </row>
    <row r="30" spans="2:12" ht="24.75" customHeight="1" thickBot="1" x14ac:dyDescent="0.25">
      <c r="B30" s="166" t="s">
        <v>310</v>
      </c>
      <c r="C30" s="702" t="s">
        <v>358</v>
      </c>
      <c r="D30" s="703"/>
      <c r="E30" s="704"/>
      <c r="F30" s="174">
        <f t="shared" ref="F30" si="1">F25-F28</f>
        <v>-819445</v>
      </c>
      <c r="G30" s="174">
        <f>G25-G28</f>
        <v>-519445</v>
      </c>
      <c r="H30" s="174">
        <f>H25-H28</f>
        <v>70555</v>
      </c>
      <c r="I30" s="175">
        <f>I25-I28</f>
        <v>670555</v>
      </c>
    </row>
  </sheetData>
  <mergeCells count="21">
    <mergeCell ref="B9:D9"/>
    <mergeCell ref="F4:F5"/>
    <mergeCell ref="B3:J3"/>
    <mergeCell ref="I4:I5"/>
    <mergeCell ref="J4:J5"/>
    <mergeCell ref="B4:B5"/>
    <mergeCell ref="C4:C5"/>
    <mergeCell ref="D4:D5"/>
    <mergeCell ref="G4:G5"/>
    <mergeCell ref="H4:H5"/>
    <mergeCell ref="E4:E5"/>
    <mergeCell ref="C27:E27"/>
    <mergeCell ref="C28:E28"/>
    <mergeCell ref="C29:E29"/>
    <mergeCell ref="C30:E30"/>
    <mergeCell ref="K14:L14"/>
    <mergeCell ref="B12:J13"/>
    <mergeCell ref="B22:I23"/>
    <mergeCell ref="C24:E24"/>
    <mergeCell ref="C25:E25"/>
    <mergeCell ref="C26:E26"/>
  </mergeCells>
  <hyperlinks>
    <hyperlink ref="I15" r:id="rId1"/>
    <hyperlink ref="I16" r:id="rId2"/>
    <hyperlink ref="I17" r:id="rId3"/>
  </hyperlinks>
  <pageMargins left="0.7" right="0.7" top="0.75" bottom="0.75" header="0.3" footer="0.3"/>
  <pageSetup paperSize="9" scale="64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58"/>
  <sheetViews>
    <sheetView topLeftCell="A4" zoomScale="90" zoomScaleNormal="90" workbookViewId="0">
      <selection activeCell="L8" sqref="L8"/>
    </sheetView>
  </sheetViews>
  <sheetFormatPr defaultRowHeight="12.75" x14ac:dyDescent="0.2"/>
  <cols>
    <col min="1" max="1" width="5.85546875" customWidth="1"/>
    <col min="2" max="2" width="52.28515625" customWidth="1"/>
    <col min="3" max="3" width="20.7109375" customWidth="1"/>
    <col min="4" max="7" width="14.140625" customWidth="1"/>
    <col min="8" max="9" width="12.42578125" customWidth="1"/>
    <col min="10" max="10" width="13.28515625" customWidth="1"/>
    <col min="11" max="11" width="15.85546875" customWidth="1"/>
    <col min="12" max="12" width="19.5703125" customWidth="1"/>
    <col min="13" max="13" width="18.140625" customWidth="1"/>
    <col min="14" max="14" width="14.140625" customWidth="1"/>
  </cols>
  <sheetData>
    <row r="1" spans="1:15" ht="15" customHeight="1" thickTop="1" thickBot="1" x14ac:dyDescent="0.2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2.75" customHeight="1" x14ac:dyDescent="0.2">
      <c r="A2" s="710" t="s">
        <v>362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2"/>
      <c r="N2" s="91"/>
    </row>
    <row r="3" spans="1:15" ht="12.75" customHeight="1" thickBot="1" x14ac:dyDescent="0.25">
      <c r="A3" s="713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  <c r="N3" s="2"/>
      <c r="O3" s="1"/>
    </row>
    <row r="4" spans="1:15" ht="12.75" customHeight="1" x14ac:dyDescent="0.2">
      <c r="A4" s="737" t="s">
        <v>82</v>
      </c>
      <c r="B4" s="744" t="s">
        <v>83</v>
      </c>
      <c r="C4" s="744" t="s">
        <v>354</v>
      </c>
      <c r="D4" s="744" t="s">
        <v>197</v>
      </c>
      <c r="E4" s="744"/>
      <c r="F4" s="744"/>
      <c r="G4" s="744" t="s">
        <v>3</v>
      </c>
      <c r="H4" s="744"/>
      <c r="I4" s="744"/>
      <c r="J4" s="744" t="s">
        <v>5</v>
      </c>
      <c r="K4" s="744" t="s">
        <v>84</v>
      </c>
      <c r="L4" s="744" t="s">
        <v>172</v>
      </c>
      <c r="M4" s="745" t="s">
        <v>249</v>
      </c>
      <c r="N4" s="97"/>
      <c r="O4" s="1"/>
    </row>
    <row r="5" spans="1:15" ht="22.5" customHeight="1" x14ac:dyDescent="0.2">
      <c r="A5" s="738"/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46"/>
      <c r="N5" s="97"/>
      <c r="O5" s="1"/>
    </row>
    <row r="6" spans="1:15" ht="23.25" customHeight="1" x14ac:dyDescent="0.2">
      <c r="A6" s="738"/>
      <c r="B6" s="734"/>
      <c r="C6" s="734"/>
      <c r="D6" s="734" t="s">
        <v>244</v>
      </c>
      <c r="E6" s="734"/>
      <c r="F6" s="153" t="s">
        <v>198</v>
      </c>
      <c r="G6" s="734" t="str">
        <f>D6</f>
        <v>чврста биомаса</v>
      </c>
      <c r="H6" s="734"/>
      <c r="I6" s="153" t="str">
        <f>F6</f>
        <v>(пољопр.) биогас</v>
      </c>
      <c r="J6" s="734"/>
      <c r="K6" s="734"/>
      <c r="L6" s="734"/>
      <c r="M6" s="746"/>
      <c r="N6" s="97"/>
      <c r="O6" s="1"/>
    </row>
    <row r="7" spans="1:15" ht="33.75" customHeight="1" x14ac:dyDescent="0.2">
      <c r="A7" s="738"/>
      <c r="B7" s="734"/>
      <c r="C7" s="734"/>
      <c r="D7" s="153" t="s">
        <v>199</v>
      </c>
      <c r="E7" s="153" t="s">
        <v>200</v>
      </c>
      <c r="F7" s="153" t="s">
        <v>201</v>
      </c>
      <c r="G7" s="153" t="s">
        <v>199</v>
      </c>
      <c r="H7" s="153" t="s">
        <v>200</v>
      </c>
      <c r="I7" s="153" t="s">
        <v>201</v>
      </c>
      <c r="J7" s="734"/>
      <c r="K7" s="734"/>
      <c r="L7" s="734"/>
      <c r="M7" s="746"/>
      <c r="N7" s="97"/>
      <c r="O7" s="1"/>
    </row>
    <row r="8" spans="1:15" ht="30.75" customHeight="1" x14ac:dyDescent="0.2">
      <c r="A8" s="88" t="s">
        <v>202</v>
      </c>
      <c r="B8" s="151" t="s">
        <v>203</v>
      </c>
      <c r="C8" s="151" t="s">
        <v>204</v>
      </c>
      <c r="D8" s="144" t="s">
        <v>385</v>
      </c>
      <c r="E8" s="144" t="s">
        <v>385</v>
      </c>
      <c r="F8" s="198">
        <f>989/1000</f>
        <v>0.98899999999999999</v>
      </c>
      <c r="G8" s="146" t="s">
        <v>385</v>
      </c>
      <c r="H8" s="146" t="s">
        <v>385</v>
      </c>
      <c r="I8" s="198">
        <f>8274800/1000000</f>
        <v>8.2748000000000008</v>
      </c>
      <c r="J8" s="151" t="s">
        <v>205</v>
      </c>
      <c r="K8" s="151" t="s">
        <v>304</v>
      </c>
      <c r="L8" s="107" t="s">
        <v>303</v>
      </c>
      <c r="M8" s="87"/>
      <c r="N8" s="12"/>
      <c r="O8" s="1"/>
    </row>
    <row r="9" spans="1:15" ht="47.25" customHeight="1" thickBot="1" x14ac:dyDescent="0.25">
      <c r="A9" s="188" t="s">
        <v>266</v>
      </c>
      <c r="B9" s="189" t="s">
        <v>245</v>
      </c>
      <c r="C9" s="189" t="s">
        <v>305</v>
      </c>
      <c r="D9" s="104">
        <v>0.24199999999999999</v>
      </c>
      <c r="E9" s="99" t="s">
        <v>385</v>
      </c>
      <c r="F9" s="199" t="s">
        <v>385</v>
      </c>
      <c r="G9" s="104">
        <f>1960000/1000000</f>
        <v>1.96</v>
      </c>
      <c r="H9" s="104" t="s">
        <v>385</v>
      </c>
      <c r="I9" s="199">
        <v>0</v>
      </c>
      <c r="J9" s="189" t="s">
        <v>408</v>
      </c>
      <c r="K9" s="189" t="s">
        <v>409</v>
      </c>
      <c r="L9" s="192" t="s">
        <v>414</v>
      </c>
      <c r="M9" s="193"/>
      <c r="N9" s="12"/>
      <c r="O9" s="1"/>
    </row>
    <row r="10" spans="1:15" ht="19.5" customHeight="1" thickBot="1" x14ac:dyDescent="0.25">
      <c r="A10" s="728" t="s">
        <v>195</v>
      </c>
      <c r="B10" s="729"/>
      <c r="C10" s="729"/>
      <c r="D10" s="196">
        <f>SUM(D8:D9)</f>
        <v>0.24199999999999999</v>
      </c>
      <c r="E10" s="187">
        <f t="shared" ref="E10:F10" si="0">SUM(E8:E9)</f>
        <v>0</v>
      </c>
      <c r="F10" s="196">
        <f t="shared" si="0"/>
        <v>0.98899999999999999</v>
      </c>
      <c r="G10" s="196">
        <f>SUM(G8:G9)</f>
        <v>1.96</v>
      </c>
      <c r="H10" s="196">
        <f t="shared" ref="H10:I10" si="1">SUM(H8:H9)</f>
        <v>0</v>
      </c>
      <c r="I10" s="196">
        <f t="shared" si="1"/>
        <v>8.2748000000000008</v>
      </c>
      <c r="J10" s="741"/>
      <c r="K10" s="742"/>
      <c r="L10" s="742"/>
      <c r="M10" s="743"/>
      <c r="N10" s="24"/>
      <c r="O10" s="1"/>
    </row>
    <row r="11" spans="1:15" s="28" customFormat="1" ht="18.75" customHeight="1" x14ac:dyDescent="0.2">
      <c r="A11" s="10"/>
      <c r="B11" s="24"/>
      <c r="C11" s="24"/>
      <c r="D11" s="24"/>
      <c r="E11" s="24"/>
      <c r="F11" s="46"/>
      <c r="G11" s="46"/>
      <c r="H11" s="24"/>
      <c r="I11" s="46"/>
      <c r="J11" s="24"/>
      <c r="K11" s="24"/>
      <c r="L11" s="24"/>
      <c r="M11" s="24"/>
      <c r="N11" s="24"/>
    </row>
    <row r="12" spans="1:15" s="28" customFormat="1" ht="18.75" customHeight="1" thickBot="1" x14ac:dyDescent="0.25">
      <c r="A12" s="10"/>
      <c r="B12" s="24"/>
      <c r="C12" s="24"/>
      <c r="D12" s="24"/>
      <c r="E12" s="24"/>
      <c r="F12" s="46"/>
      <c r="G12" s="24"/>
      <c r="H12" s="24"/>
      <c r="I12" s="46"/>
      <c r="J12" s="24"/>
      <c r="K12" s="24"/>
      <c r="L12" s="24"/>
      <c r="M12" s="24"/>
      <c r="N12" s="24"/>
    </row>
    <row r="13" spans="1:15" s="28" customFormat="1" ht="12.75" customHeight="1" x14ac:dyDescent="0.2">
      <c r="A13" s="716" t="s">
        <v>363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8"/>
    </row>
    <row r="14" spans="1:15" s="28" customFormat="1" ht="12.75" customHeight="1" thickBot="1" x14ac:dyDescent="0.25">
      <c r="A14" s="719"/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1"/>
    </row>
    <row r="15" spans="1:15" ht="33.75" customHeight="1" x14ac:dyDescent="0.2">
      <c r="A15" s="732" t="s">
        <v>307</v>
      </c>
      <c r="B15" s="730" t="s">
        <v>83</v>
      </c>
      <c r="C15" s="730" t="s">
        <v>354</v>
      </c>
      <c r="D15" s="730" t="s">
        <v>197</v>
      </c>
      <c r="E15" s="730"/>
      <c r="F15" s="730"/>
      <c r="G15" s="730" t="s">
        <v>3</v>
      </c>
      <c r="H15" s="730"/>
      <c r="I15" s="730"/>
      <c r="J15" s="730" t="s">
        <v>5</v>
      </c>
      <c r="K15" s="730" t="s">
        <v>84</v>
      </c>
      <c r="L15" s="730" t="s">
        <v>172</v>
      </c>
      <c r="M15" s="730" t="s">
        <v>247</v>
      </c>
      <c r="N15" s="735" t="s">
        <v>234</v>
      </c>
    </row>
    <row r="16" spans="1:15" x14ac:dyDescent="0.2">
      <c r="A16" s="733"/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6"/>
    </row>
    <row r="17" spans="1:14" ht="24" x14ac:dyDescent="0.2">
      <c r="A17" s="733"/>
      <c r="B17" s="731"/>
      <c r="C17" s="731"/>
      <c r="D17" s="734" t="s">
        <v>244</v>
      </c>
      <c r="E17" s="734"/>
      <c r="F17" s="186" t="s">
        <v>198</v>
      </c>
      <c r="G17" s="734" t="str">
        <f>D17</f>
        <v>чврста биомаса</v>
      </c>
      <c r="H17" s="734"/>
      <c r="I17" s="186" t="str">
        <f>F17</f>
        <v>(пољопр.) биогас</v>
      </c>
      <c r="J17" s="731"/>
      <c r="K17" s="731"/>
      <c r="L17" s="731"/>
      <c r="M17" s="731"/>
      <c r="N17" s="736"/>
    </row>
    <row r="18" spans="1:14" ht="36" x14ac:dyDescent="0.2">
      <c r="A18" s="733"/>
      <c r="B18" s="731"/>
      <c r="C18" s="731"/>
      <c r="D18" s="153" t="s">
        <v>199</v>
      </c>
      <c r="E18" s="153" t="s">
        <v>200</v>
      </c>
      <c r="F18" s="186" t="s">
        <v>201</v>
      </c>
      <c r="G18" s="153" t="s">
        <v>199</v>
      </c>
      <c r="H18" s="153" t="s">
        <v>200</v>
      </c>
      <c r="I18" s="186" t="s">
        <v>201</v>
      </c>
      <c r="J18" s="731"/>
      <c r="K18" s="731"/>
      <c r="L18" s="731"/>
      <c r="M18" s="731"/>
      <c r="N18" s="736"/>
    </row>
    <row r="19" spans="1:14" ht="30.75" customHeight="1" thickBot="1" x14ac:dyDescent="0.25">
      <c r="A19" s="194">
        <v>1</v>
      </c>
      <c r="B19" s="189" t="s">
        <v>246</v>
      </c>
      <c r="C19" s="213" t="s">
        <v>306</v>
      </c>
      <c r="D19" s="104">
        <v>0.99199999999999999</v>
      </c>
      <c r="E19" s="190" t="s">
        <v>385</v>
      </c>
      <c r="F19" s="191" t="s">
        <v>385</v>
      </c>
      <c r="G19" s="104">
        <f>7639000/1000000</f>
        <v>7.6390000000000002</v>
      </c>
      <c r="H19" s="190" t="s">
        <v>385</v>
      </c>
      <c r="I19" s="191" t="s">
        <v>385</v>
      </c>
      <c r="J19" s="189" t="s">
        <v>16</v>
      </c>
      <c r="K19" s="189" t="s">
        <v>271</v>
      </c>
      <c r="L19" s="195" t="s">
        <v>440</v>
      </c>
      <c r="M19" s="747" t="s">
        <v>441</v>
      </c>
      <c r="N19" s="748"/>
    </row>
    <row r="20" spans="1:14" ht="19.5" customHeight="1" thickBot="1" x14ac:dyDescent="0.25">
      <c r="A20" s="728" t="s">
        <v>195</v>
      </c>
      <c r="B20" s="729"/>
      <c r="C20" s="729"/>
      <c r="D20" s="196">
        <f t="shared" ref="D20:I20" si="2">SUM(D19:D19)</f>
        <v>0.99199999999999999</v>
      </c>
      <c r="E20" s="187">
        <f t="shared" si="2"/>
        <v>0</v>
      </c>
      <c r="F20" s="187">
        <f t="shared" si="2"/>
        <v>0</v>
      </c>
      <c r="G20" s="196">
        <f t="shared" si="2"/>
        <v>7.6390000000000002</v>
      </c>
      <c r="H20" s="197">
        <f t="shared" si="2"/>
        <v>0</v>
      </c>
      <c r="I20" s="197">
        <f t="shared" si="2"/>
        <v>0</v>
      </c>
      <c r="J20" s="739"/>
      <c r="K20" s="739"/>
      <c r="L20" s="739"/>
      <c r="M20" s="739"/>
      <c r="N20" s="740"/>
    </row>
    <row r="21" spans="1:14" ht="14.25" customHeight="1" x14ac:dyDescent="0.2"/>
    <row r="22" spans="1:14" ht="14.25" customHeight="1" x14ac:dyDescent="0.2"/>
    <row r="23" spans="1:14" ht="14.25" customHeight="1" thickBot="1" x14ac:dyDescent="0.25">
      <c r="H23" s="28"/>
    </row>
    <row r="24" spans="1:14" ht="12.75" customHeight="1" x14ac:dyDescent="0.2">
      <c r="A24" s="722" t="s">
        <v>364</v>
      </c>
      <c r="B24" s="723"/>
      <c r="C24" s="723"/>
      <c r="D24" s="723"/>
      <c r="E24" s="723"/>
      <c r="F24" s="723"/>
      <c r="G24" s="724"/>
      <c r="H24" s="92"/>
    </row>
    <row r="25" spans="1:14" ht="13.5" thickBot="1" x14ac:dyDescent="0.25">
      <c r="A25" s="725"/>
      <c r="B25" s="726"/>
      <c r="C25" s="726"/>
      <c r="D25" s="726"/>
      <c r="E25" s="726"/>
      <c r="F25" s="726"/>
      <c r="G25" s="727"/>
      <c r="H25" s="92"/>
    </row>
    <row r="26" spans="1:14" ht="15.75" customHeight="1" x14ac:dyDescent="0.2">
      <c r="A26" s="94" t="s">
        <v>307</v>
      </c>
      <c r="B26" s="93" t="s">
        <v>357</v>
      </c>
      <c r="C26" s="39" t="s">
        <v>39</v>
      </c>
      <c r="D26" s="39" t="s">
        <v>40</v>
      </c>
      <c r="E26" s="39" t="s">
        <v>41</v>
      </c>
      <c r="F26" s="39" t="s">
        <v>42</v>
      </c>
      <c r="G26" s="40" t="s">
        <v>43</v>
      </c>
      <c r="H26" s="28"/>
    </row>
    <row r="27" spans="1:14" ht="24" customHeight="1" x14ac:dyDescent="0.2">
      <c r="A27" s="207" t="s">
        <v>202</v>
      </c>
      <c r="B27" s="202" t="s">
        <v>196</v>
      </c>
      <c r="C27" s="203">
        <v>18.7</v>
      </c>
      <c r="D27" s="203">
        <v>22.86</v>
      </c>
      <c r="E27" s="203">
        <v>26.27</v>
      </c>
      <c r="F27" s="203">
        <v>33.82</v>
      </c>
      <c r="G27" s="204">
        <v>40.04</v>
      </c>
    </row>
    <row r="28" spans="1:14" ht="14.25" customHeight="1" x14ac:dyDescent="0.2">
      <c r="A28" s="205" t="s">
        <v>266</v>
      </c>
      <c r="B28" s="200" t="s">
        <v>268</v>
      </c>
      <c r="C28" s="109">
        <v>11.95</v>
      </c>
      <c r="D28" s="109">
        <v>14.61</v>
      </c>
      <c r="E28" s="109">
        <v>17.27</v>
      </c>
      <c r="F28" s="109">
        <v>22.58</v>
      </c>
      <c r="G28" s="110">
        <v>26.56</v>
      </c>
    </row>
    <row r="29" spans="1:14" ht="14.25" customHeight="1" x14ac:dyDescent="0.2">
      <c r="A29" s="205" t="s">
        <v>267</v>
      </c>
      <c r="B29" s="200" t="s">
        <v>269</v>
      </c>
      <c r="C29" s="109">
        <v>6.75</v>
      </c>
      <c r="D29" s="109">
        <v>8.25</v>
      </c>
      <c r="E29" s="109">
        <v>9</v>
      </c>
      <c r="F29" s="109">
        <v>11.24</v>
      </c>
      <c r="G29" s="110">
        <v>13.48</v>
      </c>
    </row>
    <row r="30" spans="1:14" ht="14.25" customHeight="1" x14ac:dyDescent="0.2">
      <c r="A30" s="205" t="s">
        <v>308</v>
      </c>
      <c r="B30" s="201" t="s">
        <v>270</v>
      </c>
      <c r="C30" s="111">
        <v>0</v>
      </c>
      <c r="D30" s="111">
        <v>0</v>
      </c>
      <c r="E30" s="111">
        <v>0</v>
      </c>
      <c r="F30" s="111">
        <v>0</v>
      </c>
      <c r="G30" s="112">
        <v>0</v>
      </c>
    </row>
    <row r="31" spans="1:14" ht="24" customHeight="1" x14ac:dyDescent="0.2">
      <c r="A31" s="207" t="s">
        <v>309</v>
      </c>
      <c r="B31" s="208" t="s">
        <v>365</v>
      </c>
      <c r="C31" s="203">
        <f>SUM(C32:C34)</f>
        <v>8.7100000000000009</v>
      </c>
      <c r="D31" s="203">
        <f>SUM(D32:D34)</f>
        <v>10.210000000000001</v>
      </c>
      <c r="E31" s="203">
        <f>SUM(E32:E34)</f>
        <v>10.2348</v>
      </c>
      <c r="F31" s="203">
        <f>SUM(F32:F34)</f>
        <v>10.233999999999998</v>
      </c>
      <c r="G31" s="204">
        <f>SUM(G32:G34)</f>
        <v>10.233999999999998</v>
      </c>
    </row>
    <row r="32" spans="1:14" ht="14.25" customHeight="1" x14ac:dyDescent="0.2">
      <c r="A32" s="205" t="s">
        <v>310</v>
      </c>
      <c r="B32" s="209" t="s">
        <v>268</v>
      </c>
      <c r="C32" s="113">
        <f>G9</f>
        <v>1.96</v>
      </c>
      <c r="D32" s="113">
        <f>C32</f>
        <v>1.96</v>
      </c>
      <c r="E32" s="113">
        <f>C32</f>
        <v>1.96</v>
      </c>
      <c r="F32" s="113">
        <f>E32</f>
        <v>1.96</v>
      </c>
      <c r="G32" s="114">
        <f>F32</f>
        <v>1.96</v>
      </c>
    </row>
    <row r="33" spans="1:7" ht="14.25" customHeight="1" x14ac:dyDescent="0.2">
      <c r="A33" s="205" t="s">
        <v>318</v>
      </c>
      <c r="B33" s="209" t="s">
        <v>269</v>
      </c>
      <c r="C33" s="113">
        <v>6.75</v>
      </c>
      <c r="D33" s="113">
        <v>8.25</v>
      </c>
      <c r="E33" s="113">
        <v>8.2748000000000008</v>
      </c>
      <c r="F33" s="113">
        <v>8.2739999999999991</v>
      </c>
      <c r="G33" s="114">
        <v>8.2739999999999991</v>
      </c>
    </row>
    <row r="34" spans="1:7" ht="14.25" customHeight="1" x14ac:dyDescent="0.2">
      <c r="A34" s="205" t="s">
        <v>319</v>
      </c>
      <c r="B34" s="209" t="s">
        <v>270</v>
      </c>
      <c r="C34" s="113">
        <v>0</v>
      </c>
      <c r="D34" s="113">
        <v>0</v>
      </c>
      <c r="E34" s="113">
        <v>0</v>
      </c>
      <c r="F34" s="113">
        <v>0</v>
      </c>
      <c r="G34" s="114">
        <v>0</v>
      </c>
    </row>
    <row r="35" spans="1:7" ht="24" customHeight="1" x14ac:dyDescent="0.2">
      <c r="A35" s="207" t="s">
        <v>326</v>
      </c>
      <c r="B35" s="208" t="s">
        <v>366</v>
      </c>
      <c r="C35" s="203">
        <f>SUM(C36:C38)</f>
        <v>0</v>
      </c>
      <c r="D35" s="203">
        <f>SUM(D36:D38)</f>
        <v>0</v>
      </c>
      <c r="E35" s="203">
        <f>SUM(E36:E38)</f>
        <v>0</v>
      </c>
      <c r="F35" s="203">
        <f>SUM(F36:F38)</f>
        <v>0</v>
      </c>
      <c r="G35" s="204">
        <f>SUM(G36:G38)</f>
        <v>0</v>
      </c>
    </row>
    <row r="36" spans="1:7" ht="14.25" customHeight="1" x14ac:dyDescent="0.2">
      <c r="A36" s="205" t="s">
        <v>327</v>
      </c>
      <c r="B36" s="209" t="s">
        <v>268</v>
      </c>
      <c r="C36" s="113">
        <v>0</v>
      </c>
      <c r="D36" s="113">
        <v>0</v>
      </c>
      <c r="E36" s="113">
        <v>0</v>
      </c>
      <c r="F36" s="113">
        <f>E36</f>
        <v>0</v>
      </c>
      <c r="G36" s="114">
        <f>F36</f>
        <v>0</v>
      </c>
    </row>
    <row r="37" spans="1:7" ht="14.25" customHeight="1" x14ac:dyDescent="0.2">
      <c r="A37" s="205" t="s">
        <v>328</v>
      </c>
      <c r="B37" s="209" t="s">
        <v>269</v>
      </c>
      <c r="C37" s="113">
        <v>0</v>
      </c>
      <c r="D37" s="113">
        <v>0</v>
      </c>
      <c r="E37" s="113">
        <v>0</v>
      </c>
      <c r="F37" s="113">
        <v>0</v>
      </c>
      <c r="G37" s="114">
        <v>0</v>
      </c>
    </row>
    <row r="38" spans="1:7" ht="14.25" customHeight="1" x14ac:dyDescent="0.2">
      <c r="A38" s="205" t="s">
        <v>329</v>
      </c>
      <c r="B38" s="209" t="s">
        <v>270</v>
      </c>
      <c r="C38" s="113">
        <v>0</v>
      </c>
      <c r="D38" s="113">
        <v>0</v>
      </c>
      <c r="E38" s="113">
        <v>0</v>
      </c>
      <c r="F38" s="113">
        <v>0</v>
      </c>
      <c r="G38" s="114">
        <v>0</v>
      </c>
    </row>
    <row r="39" spans="1:7" ht="24" customHeight="1" x14ac:dyDescent="0.2">
      <c r="A39" s="207" t="s">
        <v>330</v>
      </c>
      <c r="B39" s="208" t="s">
        <v>370</v>
      </c>
      <c r="C39" s="203">
        <f>C31+C35</f>
        <v>8.7100000000000009</v>
      </c>
      <c r="D39" s="203">
        <f t="shared" ref="D39:G39" si="3">D31+D35</f>
        <v>10.210000000000001</v>
      </c>
      <c r="E39" s="203">
        <f t="shared" si="3"/>
        <v>10.2348</v>
      </c>
      <c r="F39" s="203">
        <f t="shared" si="3"/>
        <v>10.233999999999998</v>
      </c>
      <c r="G39" s="204">
        <f t="shared" si="3"/>
        <v>10.233999999999998</v>
      </c>
    </row>
    <row r="40" spans="1:7" ht="14.25" customHeight="1" x14ac:dyDescent="0.2">
      <c r="A40" s="205" t="s">
        <v>331</v>
      </c>
      <c r="B40" s="209" t="s">
        <v>367</v>
      </c>
      <c r="C40" s="113">
        <f>C32+C36</f>
        <v>1.96</v>
      </c>
      <c r="D40" s="113">
        <f>D32+D36</f>
        <v>1.96</v>
      </c>
      <c r="E40" s="113">
        <f>E32+E36</f>
        <v>1.96</v>
      </c>
      <c r="F40" s="113">
        <f>F32+F36</f>
        <v>1.96</v>
      </c>
      <c r="G40" s="114">
        <f t="shared" ref="C40:G42" si="4">G32+G36</f>
        <v>1.96</v>
      </c>
    </row>
    <row r="41" spans="1:7" ht="14.25" customHeight="1" x14ac:dyDescent="0.2">
      <c r="A41" s="205" t="s">
        <v>332</v>
      </c>
      <c r="B41" s="209" t="s">
        <v>368</v>
      </c>
      <c r="C41" s="113">
        <f t="shared" si="4"/>
        <v>6.75</v>
      </c>
      <c r="D41" s="113">
        <f t="shared" si="4"/>
        <v>8.25</v>
      </c>
      <c r="E41" s="113">
        <f t="shared" si="4"/>
        <v>8.2748000000000008</v>
      </c>
      <c r="F41" s="113">
        <f t="shared" si="4"/>
        <v>8.2739999999999991</v>
      </c>
      <c r="G41" s="114">
        <f t="shared" si="4"/>
        <v>8.2739999999999991</v>
      </c>
    </row>
    <row r="42" spans="1:7" ht="14.25" customHeight="1" x14ac:dyDescent="0.2">
      <c r="A42" s="205" t="s">
        <v>333</v>
      </c>
      <c r="B42" s="209" t="s">
        <v>369</v>
      </c>
      <c r="C42" s="113">
        <f t="shared" si="4"/>
        <v>0</v>
      </c>
      <c r="D42" s="113">
        <f t="shared" si="4"/>
        <v>0</v>
      </c>
      <c r="E42" s="113">
        <f t="shared" si="4"/>
        <v>0</v>
      </c>
      <c r="F42" s="113">
        <f t="shared" si="4"/>
        <v>0</v>
      </c>
      <c r="G42" s="114">
        <f t="shared" si="4"/>
        <v>0</v>
      </c>
    </row>
    <row r="43" spans="1:7" ht="24" customHeight="1" x14ac:dyDescent="0.2">
      <c r="A43" s="207" t="s">
        <v>334</v>
      </c>
      <c r="B43" s="208" t="s">
        <v>302</v>
      </c>
      <c r="C43" s="203">
        <f>SUM(C44:C46)</f>
        <v>3.4847999999999999</v>
      </c>
      <c r="D43" s="203">
        <f>SUM(D44:D46)</f>
        <v>1.9847999999999999</v>
      </c>
      <c r="E43" s="203">
        <f>SUM(E44:E46)</f>
        <v>0</v>
      </c>
      <c r="F43" s="203">
        <f>SUM(F44:F46)</f>
        <v>0</v>
      </c>
      <c r="G43" s="204">
        <f>SUM(G44:G46)</f>
        <v>0</v>
      </c>
    </row>
    <row r="44" spans="1:7" ht="14.25" customHeight="1" x14ac:dyDescent="0.2">
      <c r="A44" s="205" t="s">
        <v>335</v>
      </c>
      <c r="B44" s="209" t="s">
        <v>268</v>
      </c>
      <c r="C44" s="109">
        <v>0</v>
      </c>
      <c r="D44" s="109">
        <v>0</v>
      </c>
      <c r="E44" s="109">
        <v>0</v>
      </c>
      <c r="F44" s="109">
        <v>0</v>
      </c>
      <c r="G44" s="110">
        <v>0</v>
      </c>
    </row>
    <row r="45" spans="1:7" ht="14.25" customHeight="1" x14ac:dyDescent="0.2">
      <c r="A45" s="205" t="s">
        <v>336</v>
      </c>
      <c r="B45" s="209" t="s">
        <v>269</v>
      </c>
      <c r="C45" s="109">
        <f>E31-C29</f>
        <v>3.4847999999999999</v>
      </c>
      <c r="D45" s="109">
        <f>E31-D29</f>
        <v>1.9847999999999999</v>
      </c>
      <c r="E45" s="109">
        <v>0</v>
      </c>
      <c r="F45" s="109">
        <v>0</v>
      </c>
      <c r="G45" s="110">
        <v>0</v>
      </c>
    </row>
    <row r="46" spans="1:7" ht="14.25" customHeight="1" x14ac:dyDescent="0.2">
      <c r="A46" s="205" t="s">
        <v>337</v>
      </c>
      <c r="B46" s="209" t="s">
        <v>270</v>
      </c>
      <c r="C46" s="109">
        <f>C34-C38-C50</f>
        <v>0</v>
      </c>
      <c r="D46" s="109">
        <f>D34-D38-D50</f>
        <v>0</v>
      </c>
      <c r="E46" s="109">
        <f>E34-E38-E50</f>
        <v>0</v>
      </c>
      <c r="F46" s="109">
        <f>F34-F38-F50</f>
        <v>0</v>
      </c>
      <c r="G46" s="110">
        <f>G34-G38-G50</f>
        <v>0</v>
      </c>
    </row>
    <row r="47" spans="1:7" ht="24" customHeight="1" x14ac:dyDescent="0.2">
      <c r="A47" s="207" t="s">
        <v>338</v>
      </c>
      <c r="B47" s="208" t="s">
        <v>371</v>
      </c>
      <c r="C47" s="203">
        <f>C27-C39</f>
        <v>9.9899999999999984</v>
      </c>
      <c r="D47" s="203">
        <f t="shared" ref="D47:G47" si="5">D27-D39</f>
        <v>12.649999999999999</v>
      </c>
      <c r="E47" s="203">
        <f t="shared" si="5"/>
        <v>16.0352</v>
      </c>
      <c r="F47" s="203">
        <f t="shared" si="5"/>
        <v>23.586000000000002</v>
      </c>
      <c r="G47" s="204">
        <f t="shared" si="5"/>
        <v>29.806000000000001</v>
      </c>
    </row>
    <row r="48" spans="1:7" ht="14.25" customHeight="1" x14ac:dyDescent="0.2">
      <c r="A48" s="205" t="s">
        <v>339</v>
      </c>
      <c r="B48" s="209" t="s">
        <v>372</v>
      </c>
      <c r="C48" s="210">
        <f t="shared" ref="C48:G50" si="6">C28-C40</f>
        <v>9.9899999999999984</v>
      </c>
      <c r="D48" s="210">
        <f t="shared" si="6"/>
        <v>12.649999999999999</v>
      </c>
      <c r="E48" s="210">
        <f>E28-E40</f>
        <v>15.309999999999999</v>
      </c>
      <c r="F48" s="210">
        <f>F28-F40</f>
        <v>20.619999999999997</v>
      </c>
      <c r="G48" s="211">
        <f t="shared" si="6"/>
        <v>24.599999999999998</v>
      </c>
    </row>
    <row r="49" spans="1:7" ht="14.25" customHeight="1" x14ac:dyDescent="0.2">
      <c r="A49" s="205" t="s">
        <v>340</v>
      </c>
      <c r="B49" s="209" t="s">
        <v>373</v>
      </c>
      <c r="C49" s="210">
        <f t="shared" si="6"/>
        <v>0</v>
      </c>
      <c r="D49" s="210">
        <f t="shared" si="6"/>
        <v>0</v>
      </c>
      <c r="E49" s="210">
        <f t="shared" si="6"/>
        <v>0.72519999999999918</v>
      </c>
      <c r="F49" s="210">
        <f t="shared" si="6"/>
        <v>2.9660000000000011</v>
      </c>
      <c r="G49" s="211">
        <f t="shared" si="6"/>
        <v>5.2060000000000013</v>
      </c>
    </row>
    <row r="50" spans="1:7" ht="14.25" customHeight="1" x14ac:dyDescent="0.2">
      <c r="A50" s="205" t="s">
        <v>341</v>
      </c>
      <c r="B50" s="209" t="s">
        <v>374</v>
      </c>
      <c r="C50" s="210">
        <f t="shared" si="6"/>
        <v>0</v>
      </c>
      <c r="D50" s="210">
        <f t="shared" si="6"/>
        <v>0</v>
      </c>
      <c r="E50" s="210">
        <f t="shared" si="6"/>
        <v>0</v>
      </c>
      <c r="F50" s="210">
        <f t="shared" si="6"/>
        <v>0</v>
      </c>
      <c r="G50" s="211">
        <f t="shared" si="6"/>
        <v>0</v>
      </c>
    </row>
    <row r="51" spans="1:7" ht="24.75" customHeight="1" x14ac:dyDescent="0.2">
      <c r="A51" s="207" t="s">
        <v>342</v>
      </c>
      <c r="B51" s="208" t="s">
        <v>375</v>
      </c>
      <c r="C51" s="203">
        <f>SUM(C52:C54)</f>
        <v>6.5051999999999985</v>
      </c>
      <c r="D51" s="203">
        <f>SUM(D52:D54)</f>
        <v>10.665199999999999</v>
      </c>
      <c r="E51" s="203">
        <f>SUM(E52:E54)</f>
        <v>16.035199999999996</v>
      </c>
      <c r="F51" s="203">
        <f>SUM(F52:F54)</f>
        <v>23.585999999999999</v>
      </c>
      <c r="G51" s="204">
        <f>SUM(G52:G54)</f>
        <v>29.805999999999997</v>
      </c>
    </row>
    <row r="52" spans="1:7" ht="14.25" customHeight="1" x14ac:dyDescent="0.2">
      <c r="A52" s="205" t="s">
        <v>343</v>
      </c>
      <c r="B52" s="209" t="s">
        <v>376</v>
      </c>
      <c r="C52" s="109">
        <f>C28-C40-C44</f>
        <v>9.9899999999999984</v>
      </c>
      <c r="D52" s="109">
        <f>D28-D40-D44</f>
        <v>12.649999999999999</v>
      </c>
      <c r="E52" s="109">
        <f t="shared" ref="E52:G52" si="7">E28-E40-E44</f>
        <v>15.309999999999999</v>
      </c>
      <c r="F52" s="109">
        <f t="shared" si="7"/>
        <v>20.619999999999997</v>
      </c>
      <c r="G52" s="110">
        <f t="shared" si="7"/>
        <v>24.599999999999998</v>
      </c>
    </row>
    <row r="53" spans="1:7" ht="14.25" customHeight="1" x14ac:dyDescent="0.2">
      <c r="A53" s="205" t="s">
        <v>344</v>
      </c>
      <c r="B53" s="209" t="s">
        <v>377</v>
      </c>
      <c r="C53" s="109">
        <f>C29-C41-C45</f>
        <v>-3.4847999999999999</v>
      </c>
      <c r="D53" s="109">
        <f>D29-D41-D45</f>
        <v>-1.9847999999999999</v>
      </c>
      <c r="E53" s="109">
        <f>E29-E41-E45</f>
        <v>0.72519999999999918</v>
      </c>
      <c r="F53" s="109">
        <f t="shared" ref="F53:G53" si="8">F29-F41-F45</f>
        <v>2.9660000000000011</v>
      </c>
      <c r="G53" s="110">
        <f t="shared" si="8"/>
        <v>5.2060000000000013</v>
      </c>
    </row>
    <row r="54" spans="1:7" ht="14.25" customHeight="1" thickBot="1" x14ac:dyDescent="0.25">
      <c r="A54" s="206" t="s">
        <v>345</v>
      </c>
      <c r="B54" s="212" t="s">
        <v>378</v>
      </c>
      <c r="C54" s="115">
        <f>C34-C38-C46</f>
        <v>0</v>
      </c>
      <c r="D54" s="115">
        <f t="shared" ref="D54:G54" si="9">D34-D38-D46</f>
        <v>0</v>
      </c>
      <c r="E54" s="115">
        <f t="shared" si="9"/>
        <v>0</v>
      </c>
      <c r="F54" s="115">
        <f t="shared" si="9"/>
        <v>0</v>
      </c>
      <c r="G54" s="116">
        <f t="shared" si="9"/>
        <v>0</v>
      </c>
    </row>
    <row r="55" spans="1:7" x14ac:dyDescent="0.2">
      <c r="A55" s="1"/>
    </row>
    <row r="56" spans="1:7" ht="21.75" customHeight="1" x14ac:dyDescent="0.2">
      <c r="C56" s="43"/>
    </row>
    <row r="57" spans="1:7" x14ac:dyDescent="0.2">
      <c r="C57" s="43"/>
    </row>
    <row r="58" spans="1:7" x14ac:dyDescent="0.2">
      <c r="C58" s="43"/>
    </row>
  </sheetData>
  <mergeCells count="31">
    <mergeCell ref="M15:M18"/>
    <mergeCell ref="D17:E17"/>
    <mergeCell ref="J20:N20"/>
    <mergeCell ref="J10:M10"/>
    <mergeCell ref="B4:B7"/>
    <mergeCell ref="C4:C7"/>
    <mergeCell ref="D4:F5"/>
    <mergeCell ref="D6:E6"/>
    <mergeCell ref="J4:J7"/>
    <mergeCell ref="K4:K7"/>
    <mergeCell ref="L4:L7"/>
    <mergeCell ref="M4:M7"/>
    <mergeCell ref="G4:I5"/>
    <mergeCell ref="G6:H6"/>
    <mergeCell ref="M19:N19"/>
    <mergeCell ref="A2:M3"/>
    <mergeCell ref="A13:N14"/>
    <mergeCell ref="A24:G25"/>
    <mergeCell ref="A10:C10"/>
    <mergeCell ref="B15:B18"/>
    <mergeCell ref="A15:A18"/>
    <mergeCell ref="A20:C20"/>
    <mergeCell ref="G17:H17"/>
    <mergeCell ref="N15:N18"/>
    <mergeCell ref="J15:J18"/>
    <mergeCell ref="K15:K18"/>
    <mergeCell ref="L15:L18"/>
    <mergeCell ref="C15:C18"/>
    <mergeCell ref="D15:F16"/>
    <mergeCell ref="G15:I16"/>
    <mergeCell ref="A4:A7"/>
  </mergeCells>
  <hyperlinks>
    <hyperlink ref="L8" r:id="rId1"/>
    <hyperlink ref="L19" r:id="rId2"/>
    <hyperlink ref="L9" r:id="rId3"/>
  </hyperlinks>
  <pageMargins left="0" right="0" top="0" bottom="0" header="0.51181102362204722" footer="0.51181102362204722"/>
  <pageSetup paperSize="9" scale="57" orientation="landscape" horizontalDpi="300" verticalDpi="300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BBDB"/>
  </sheetPr>
  <dimension ref="B2:I30"/>
  <sheetViews>
    <sheetView topLeftCell="A4" workbookViewId="0">
      <selection activeCell="M11" sqref="M11"/>
    </sheetView>
  </sheetViews>
  <sheetFormatPr defaultRowHeight="12.75" x14ac:dyDescent="0.2"/>
  <cols>
    <col min="3" max="3" width="26.5703125" customWidth="1"/>
    <col min="4" max="4" width="5.140625" customWidth="1"/>
    <col min="9" max="9" width="6.42578125" bestFit="1" customWidth="1"/>
  </cols>
  <sheetData>
    <row r="2" spans="2:9" ht="13.5" thickBot="1" x14ac:dyDescent="0.25"/>
    <row r="3" spans="2:9" x14ac:dyDescent="0.2">
      <c r="B3" s="749" t="s">
        <v>490</v>
      </c>
      <c r="C3" s="750"/>
      <c r="D3" s="750"/>
      <c r="E3" s="750"/>
      <c r="F3" s="750"/>
      <c r="G3" s="750"/>
      <c r="H3" s="750"/>
      <c r="I3" s="751"/>
    </row>
    <row r="4" spans="2:9" ht="13.5" thickBot="1" x14ac:dyDescent="0.25">
      <c r="B4" s="752"/>
      <c r="C4" s="753"/>
      <c r="D4" s="753"/>
      <c r="E4" s="753"/>
      <c r="F4" s="753"/>
      <c r="G4" s="753"/>
      <c r="H4" s="753"/>
      <c r="I4" s="754"/>
    </row>
    <row r="5" spans="2:9" ht="13.5" thickBot="1" x14ac:dyDescent="0.25">
      <c r="B5" s="275" t="s">
        <v>307</v>
      </c>
      <c r="C5" s="272" t="s">
        <v>357</v>
      </c>
      <c r="D5" s="272" t="s">
        <v>489</v>
      </c>
      <c r="E5" s="273" t="s">
        <v>39</v>
      </c>
      <c r="F5" s="273" t="s">
        <v>40</v>
      </c>
      <c r="G5" s="273" t="s">
        <v>41</v>
      </c>
      <c r="H5" s="273" t="s">
        <v>42</v>
      </c>
      <c r="I5" s="274" t="s">
        <v>43</v>
      </c>
    </row>
    <row r="6" spans="2:9" ht="24" x14ac:dyDescent="0.2">
      <c r="B6" s="268" t="s">
        <v>202</v>
      </c>
      <c r="C6" s="269" t="s">
        <v>492</v>
      </c>
      <c r="D6" s="269" t="s">
        <v>489</v>
      </c>
      <c r="E6" s="270">
        <f>E7+E10</f>
        <v>68.069999999999993</v>
      </c>
      <c r="F6" s="270">
        <f t="shared" ref="F6:I6" si="0">F7+F10</f>
        <v>83.19</v>
      </c>
      <c r="G6" s="270">
        <f t="shared" si="0"/>
        <v>98.31</v>
      </c>
      <c r="H6" s="270">
        <f t="shared" si="0"/>
        <v>128.57</v>
      </c>
      <c r="I6" s="271">
        <f t="shared" si="0"/>
        <v>151.25659999999999</v>
      </c>
    </row>
    <row r="7" spans="2:9" x14ac:dyDescent="0.2">
      <c r="B7" s="265" t="s">
        <v>266</v>
      </c>
      <c r="C7" s="247" t="s">
        <v>491</v>
      </c>
      <c r="D7" s="247" t="s">
        <v>489</v>
      </c>
      <c r="E7" s="109">
        <f>SUM(E8:E9)</f>
        <v>62.75</v>
      </c>
      <c r="F7" s="109">
        <f t="shared" ref="F7:I7" si="1">SUM(F8:F9)</f>
        <v>76.69</v>
      </c>
      <c r="G7" s="109">
        <f t="shared" si="1"/>
        <v>90.63</v>
      </c>
      <c r="H7" s="109">
        <f t="shared" si="1"/>
        <v>118.52</v>
      </c>
      <c r="I7" s="110">
        <f t="shared" si="1"/>
        <v>139.4366</v>
      </c>
    </row>
    <row r="8" spans="2:9" x14ac:dyDescent="0.2">
      <c r="B8" s="265" t="s">
        <v>267</v>
      </c>
      <c r="C8" s="247" t="s">
        <v>268</v>
      </c>
      <c r="D8" s="247" t="s">
        <v>489</v>
      </c>
      <c r="E8" s="109">
        <v>8.06</v>
      </c>
      <c r="F8" s="109">
        <v>9.85</v>
      </c>
      <c r="G8" s="109">
        <v>11.64</v>
      </c>
      <c r="H8" s="109">
        <v>15.22</v>
      </c>
      <c r="I8" s="110">
        <v>17.91</v>
      </c>
    </row>
    <row r="9" spans="2:9" x14ac:dyDescent="0.2">
      <c r="B9" s="265" t="s">
        <v>308</v>
      </c>
      <c r="C9" s="247" t="s">
        <v>494</v>
      </c>
      <c r="D9" s="247" t="s">
        <v>489</v>
      </c>
      <c r="E9" s="109">
        <v>54.69</v>
      </c>
      <c r="F9" s="109">
        <v>66.84</v>
      </c>
      <c r="G9" s="109">
        <v>78.989999999999995</v>
      </c>
      <c r="H9" s="109">
        <v>103.3</v>
      </c>
      <c r="I9" s="110">
        <v>121.5266</v>
      </c>
    </row>
    <row r="10" spans="2:9" x14ac:dyDescent="0.2">
      <c r="B10" s="265" t="s">
        <v>309</v>
      </c>
      <c r="C10" s="201" t="s">
        <v>493</v>
      </c>
      <c r="D10" s="247" t="s">
        <v>489</v>
      </c>
      <c r="E10" s="111">
        <v>5.32</v>
      </c>
      <c r="F10" s="111">
        <v>6.5</v>
      </c>
      <c r="G10" s="111">
        <v>7.68</v>
      </c>
      <c r="H10" s="111">
        <v>10.050000000000001</v>
      </c>
      <c r="I10" s="112">
        <v>11.82</v>
      </c>
    </row>
    <row r="11" spans="2:9" ht="24" x14ac:dyDescent="0.2">
      <c r="B11" s="264" t="s">
        <v>309</v>
      </c>
      <c r="C11" s="256" t="s">
        <v>365</v>
      </c>
      <c r="D11" s="259" t="s">
        <v>489</v>
      </c>
      <c r="E11" s="257">
        <f>E12+E15</f>
        <v>0</v>
      </c>
      <c r="F11" s="257">
        <f t="shared" ref="F11:I11" si="2">F12+F15</f>
        <v>0</v>
      </c>
      <c r="G11" s="257">
        <f t="shared" si="2"/>
        <v>0</v>
      </c>
      <c r="H11" s="257">
        <f t="shared" si="2"/>
        <v>0</v>
      </c>
      <c r="I11" s="258">
        <f t="shared" si="2"/>
        <v>0</v>
      </c>
    </row>
    <row r="12" spans="2:9" x14ac:dyDescent="0.2">
      <c r="B12" s="265" t="s">
        <v>310</v>
      </c>
      <c r="C12" s="247" t="s">
        <v>491</v>
      </c>
      <c r="D12" s="252" t="s">
        <v>489</v>
      </c>
      <c r="E12" s="210">
        <f>SUM(E13:E14)</f>
        <v>0</v>
      </c>
      <c r="F12" s="210">
        <f t="shared" ref="F12:I12" si="3">SUM(F13:F14)</f>
        <v>0</v>
      </c>
      <c r="G12" s="210">
        <f t="shared" si="3"/>
        <v>0</v>
      </c>
      <c r="H12" s="210">
        <f t="shared" si="3"/>
        <v>0</v>
      </c>
      <c r="I12" s="211">
        <f t="shared" si="3"/>
        <v>0</v>
      </c>
    </row>
    <row r="13" spans="2:9" x14ac:dyDescent="0.2">
      <c r="B13" s="265" t="s">
        <v>318</v>
      </c>
      <c r="C13" s="247" t="s">
        <v>268</v>
      </c>
      <c r="D13" s="253" t="s">
        <v>489</v>
      </c>
      <c r="E13" s="113">
        <v>0</v>
      </c>
      <c r="F13" s="113">
        <f>E13</f>
        <v>0</v>
      </c>
      <c r="G13" s="113">
        <f t="shared" ref="G13:I13" si="4">F13</f>
        <v>0</v>
      </c>
      <c r="H13" s="113">
        <f t="shared" si="4"/>
        <v>0</v>
      </c>
      <c r="I13" s="114">
        <f t="shared" si="4"/>
        <v>0</v>
      </c>
    </row>
    <row r="14" spans="2:9" x14ac:dyDescent="0.2">
      <c r="B14" s="265" t="s">
        <v>319</v>
      </c>
      <c r="C14" s="247" t="s">
        <v>494</v>
      </c>
      <c r="D14" s="253" t="s">
        <v>489</v>
      </c>
      <c r="E14" s="113">
        <v>0</v>
      </c>
      <c r="F14" s="113">
        <v>0</v>
      </c>
      <c r="G14" s="113">
        <v>0</v>
      </c>
      <c r="H14" s="113">
        <v>0</v>
      </c>
      <c r="I14" s="114">
        <v>0</v>
      </c>
    </row>
    <row r="15" spans="2:9" x14ac:dyDescent="0.2">
      <c r="B15" s="266" t="s">
        <v>495</v>
      </c>
      <c r="C15" s="201" t="s">
        <v>493</v>
      </c>
      <c r="D15" s="253" t="s">
        <v>489</v>
      </c>
      <c r="E15" s="113">
        <v>0</v>
      </c>
      <c r="F15" s="113">
        <v>0</v>
      </c>
      <c r="G15" s="113">
        <v>0</v>
      </c>
      <c r="H15" s="113">
        <v>0</v>
      </c>
      <c r="I15" s="114">
        <v>0</v>
      </c>
    </row>
    <row r="16" spans="2:9" ht="24" x14ac:dyDescent="0.2">
      <c r="B16" s="264" t="s">
        <v>327</v>
      </c>
      <c r="C16" s="256" t="s">
        <v>366</v>
      </c>
      <c r="D16" s="259" t="s">
        <v>489</v>
      </c>
      <c r="E16" s="257">
        <f>E17+E20</f>
        <v>0</v>
      </c>
      <c r="F16" s="257">
        <f>F17+F20</f>
        <v>0</v>
      </c>
      <c r="G16" s="257">
        <f>G17+G20</f>
        <v>0</v>
      </c>
      <c r="H16" s="257">
        <f>H17+H20</f>
        <v>0</v>
      </c>
      <c r="I16" s="258">
        <f>I17+I20</f>
        <v>0</v>
      </c>
    </row>
    <row r="17" spans="2:9" x14ac:dyDescent="0.2">
      <c r="B17" s="265" t="s">
        <v>328</v>
      </c>
      <c r="C17" s="247" t="s">
        <v>491</v>
      </c>
      <c r="D17" s="252" t="s">
        <v>489</v>
      </c>
      <c r="E17" s="210">
        <f>SUM(E18:E19)</f>
        <v>0</v>
      </c>
      <c r="F17" s="210">
        <f t="shared" ref="F17:I17" si="5">SUM(F18:F19)</f>
        <v>0</v>
      </c>
      <c r="G17" s="210">
        <f t="shared" si="5"/>
        <v>0</v>
      </c>
      <c r="H17" s="210">
        <f t="shared" si="5"/>
        <v>0</v>
      </c>
      <c r="I17" s="211">
        <f t="shared" si="5"/>
        <v>0</v>
      </c>
    </row>
    <row r="18" spans="2:9" x14ac:dyDescent="0.2">
      <c r="B18" s="265" t="s">
        <v>329</v>
      </c>
      <c r="C18" s="247" t="s">
        <v>268</v>
      </c>
      <c r="D18" s="253" t="s">
        <v>489</v>
      </c>
      <c r="E18" s="113">
        <v>0</v>
      </c>
      <c r="F18" s="113">
        <v>0</v>
      </c>
      <c r="G18" s="113">
        <v>0</v>
      </c>
      <c r="H18" s="113">
        <f>G18</f>
        <v>0</v>
      </c>
      <c r="I18" s="114">
        <f>H18</f>
        <v>0</v>
      </c>
    </row>
    <row r="19" spans="2:9" x14ac:dyDescent="0.2">
      <c r="B19" s="265" t="s">
        <v>330</v>
      </c>
      <c r="C19" s="247" t="s">
        <v>494</v>
      </c>
      <c r="D19" s="253" t="s">
        <v>489</v>
      </c>
      <c r="E19" s="113">
        <v>0</v>
      </c>
      <c r="F19" s="113">
        <v>0</v>
      </c>
      <c r="G19" s="113">
        <v>0</v>
      </c>
      <c r="H19" s="113">
        <v>0</v>
      </c>
      <c r="I19" s="114">
        <v>0</v>
      </c>
    </row>
    <row r="20" spans="2:9" x14ac:dyDescent="0.2">
      <c r="B20" s="265" t="s">
        <v>331</v>
      </c>
      <c r="C20" s="201" t="s">
        <v>493</v>
      </c>
      <c r="D20" s="253" t="s">
        <v>489</v>
      </c>
      <c r="E20" s="113">
        <v>0</v>
      </c>
      <c r="F20" s="113">
        <v>0</v>
      </c>
      <c r="G20" s="113">
        <v>0</v>
      </c>
      <c r="H20" s="113">
        <v>0</v>
      </c>
      <c r="I20" s="114">
        <v>0</v>
      </c>
    </row>
    <row r="21" spans="2:9" ht="24" x14ac:dyDescent="0.2">
      <c r="B21" s="264" t="s">
        <v>332</v>
      </c>
      <c r="C21" s="256" t="s">
        <v>370</v>
      </c>
      <c r="D21" s="259" t="s">
        <v>489</v>
      </c>
      <c r="E21" s="257">
        <f>E11+E16</f>
        <v>0</v>
      </c>
      <c r="F21" s="257">
        <f>F11+F16</f>
        <v>0</v>
      </c>
      <c r="G21" s="257">
        <f>G11+G16</f>
        <v>0</v>
      </c>
      <c r="H21" s="257">
        <f>H11+H16</f>
        <v>0</v>
      </c>
      <c r="I21" s="258">
        <f>I11+I16</f>
        <v>0</v>
      </c>
    </row>
    <row r="22" spans="2:9" x14ac:dyDescent="0.2">
      <c r="B22" s="265" t="s">
        <v>333</v>
      </c>
      <c r="C22" s="247" t="s">
        <v>491</v>
      </c>
      <c r="D22" s="252" t="s">
        <v>489</v>
      </c>
      <c r="E22" s="210">
        <f>SUM(E23:E24)</f>
        <v>0</v>
      </c>
      <c r="F22" s="210">
        <f t="shared" ref="F22:I22" si="6">SUM(F23:F24)</f>
        <v>0</v>
      </c>
      <c r="G22" s="210">
        <f t="shared" si="6"/>
        <v>0</v>
      </c>
      <c r="H22" s="210">
        <f t="shared" si="6"/>
        <v>0</v>
      </c>
      <c r="I22" s="211">
        <f t="shared" si="6"/>
        <v>0</v>
      </c>
    </row>
    <row r="23" spans="2:9" x14ac:dyDescent="0.2">
      <c r="B23" s="265" t="s">
        <v>334</v>
      </c>
      <c r="C23" s="247" t="s">
        <v>268</v>
      </c>
      <c r="D23" s="253" t="s">
        <v>489</v>
      </c>
      <c r="E23" s="113">
        <f>E13+E18</f>
        <v>0</v>
      </c>
      <c r="F23" s="113">
        <f t="shared" ref="F23:I23" si="7">F13+F18</f>
        <v>0</v>
      </c>
      <c r="G23" s="113">
        <f t="shared" si="7"/>
        <v>0</v>
      </c>
      <c r="H23" s="113">
        <f t="shared" si="7"/>
        <v>0</v>
      </c>
      <c r="I23" s="114">
        <f t="shared" si="7"/>
        <v>0</v>
      </c>
    </row>
    <row r="24" spans="2:9" x14ac:dyDescent="0.2">
      <c r="B24" s="265" t="s">
        <v>335</v>
      </c>
      <c r="C24" s="247" t="s">
        <v>494</v>
      </c>
      <c r="D24" s="253" t="s">
        <v>489</v>
      </c>
      <c r="E24" s="113">
        <f>E14+E19</f>
        <v>0</v>
      </c>
      <c r="F24" s="113">
        <f t="shared" ref="F24:I24" si="8">F14+F19</f>
        <v>0</v>
      </c>
      <c r="G24" s="113">
        <f t="shared" si="8"/>
        <v>0</v>
      </c>
      <c r="H24" s="113">
        <f t="shared" si="8"/>
        <v>0</v>
      </c>
      <c r="I24" s="114">
        <f t="shared" si="8"/>
        <v>0</v>
      </c>
    </row>
    <row r="25" spans="2:9" x14ac:dyDescent="0.2">
      <c r="B25" s="265" t="s">
        <v>336</v>
      </c>
      <c r="C25" s="201" t="s">
        <v>493</v>
      </c>
      <c r="D25" s="253" t="s">
        <v>489</v>
      </c>
      <c r="E25" s="113">
        <f>E15+E20</f>
        <v>0</v>
      </c>
      <c r="F25" s="113">
        <f t="shared" ref="F25:I25" si="9">F15+F20</f>
        <v>0</v>
      </c>
      <c r="G25" s="113">
        <f t="shared" si="9"/>
        <v>0</v>
      </c>
      <c r="H25" s="113">
        <f t="shared" si="9"/>
        <v>0</v>
      </c>
      <c r="I25" s="114">
        <f t="shared" si="9"/>
        <v>0</v>
      </c>
    </row>
    <row r="26" spans="2:9" ht="36" x14ac:dyDescent="0.2">
      <c r="B26" s="264" t="s">
        <v>337</v>
      </c>
      <c r="C26" s="256" t="s">
        <v>371</v>
      </c>
      <c r="D26" s="259" t="s">
        <v>489</v>
      </c>
      <c r="E26" s="257">
        <f>E6-E21</f>
        <v>68.069999999999993</v>
      </c>
      <c r="F26" s="257">
        <f>F6-F21</f>
        <v>83.19</v>
      </c>
      <c r="G26" s="257">
        <f>G6-G21</f>
        <v>98.31</v>
      </c>
      <c r="H26" s="257">
        <f>H6-H21</f>
        <v>128.57</v>
      </c>
      <c r="I26" s="258">
        <f>I6-I21</f>
        <v>151.25659999999999</v>
      </c>
    </row>
    <row r="27" spans="2:9" x14ac:dyDescent="0.2">
      <c r="B27" s="265" t="s">
        <v>338</v>
      </c>
      <c r="C27" s="247" t="s">
        <v>491</v>
      </c>
      <c r="D27" s="252" t="s">
        <v>489</v>
      </c>
      <c r="E27" s="260">
        <f>SUM(E28:E29)</f>
        <v>62.75</v>
      </c>
      <c r="F27" s="260">
        <f t="shared" ref="F27:I27" si="10">SUM(F28:F29)</f>
        <v>76.69</v>
      </c>
      <c r="G27" s="260">
        <f t="shared" si="10"/>
        <v>90.63</v>
      </c>
      <c r="H27" s="260">
        <f t="shared" si="10"/>
        <v>118.52</v>
      </c>
      <c r="I27" s="261">
        <f t="shared" si="10"/>
        <v>139.4366</v>
      </c>
    </row>
    <row r="28" spans="2:9" x14ac:dyDescent="0.2">
      <c r="B28" s="265" t="s">
        <v>339</v>
      </c>
      <c r="C28" s="247" t="s">
        <v>268</v>
      </c>
      <c r="D28" s="253" t="s">
        <v>489</v>
      </c>
      <c r="E28" s="260">
        <f>E8-E23</f>
        <v>8.06</v>
      </c>
      <c r="F28" s="260">
        <f t="shared" ref="F28:I28" si="11">F8-F23</f>
        <v>9.85</v>
      </c>
      <c r="G28" s="260">
        <f t="shared" si="11"/>
        <v>11.64</v>
      </c>
      <c r="H28" s="260">
        <f t="shared" si="11"/>
        <v>15.22</v>
      </c>
      <c r="I28" s="261">
        <f t="shared" si="11"/>
        <v>17.91</v>
      </c>
    </row>
    <row r="29" spans="2:9" x14ac:dyDescent="0.2">
      <c r="B29" s="265" t="s">
        <v>340</v>
      </c>
      <c r="C29" s="247" t="s">
        <v>494</v>
      </c>
      <c r="D29" s="253" t="s">
        <v>489</v>
      </c>
      <c r="E29" s="260">
        <f>E9-E24</f>
        <v>54.69</v>
      </c>
      <c r="F29" s="260">
        <f t="shared" ref="F29:I29" si="12">F9-F24</f>
        <v>66.84</v>
      </c>
      <c r="G29" s="260">
        <f t="shared" si="12"/>
        <v>78.989999999999995</v>
      </c>
      <c r="H29" s="260">
        <f t="shared" si="12"/>
        <v>103.3</v>
      </c>
      <c r="I29" s="261">
        <f t="shared" si="12"/>
        <v>121.5266</v>
      </c>
    </row>
    <row r="30" spans="2:9" ht="13.5" thickBot="1" x14ac:dyDescent="0.25">
      <c r="B30" s="267" t="s">
        <v>341</v>
      </c>
      <c r="C30" s="255" t="s">
        <v>493</v>
      </c>
      <c r="D30" s="251" t="s">
        <v>489</v>
      </c>
      <c r="E30" s="262">
        <f>E10-E25</f>
        <v>5.32</v>
      </c>
      <c r="F30" s="262">
        <f t="shared" ref="F30:I30" si="13">F10-F25</f>
        <v>6.5</v>
      </c>
      <c r="G30" s="262">
        <f t="shared" si="13"/>
        <v>7.68</v>
      </c>
      <c r="H30" s="262">
        <f t="shared" si="13"/>
        <v>10.050000000000001</v>
      </c>
      <c r="I30" s="263">
        <f t="shared" si="13"/>
        <v>11.82</v>
      </c>
    </row>
  </sheetData>
  <mergeCells count="1">
    <mergeCell ref="B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23"/>
  <sheetViews>
    <sheetView topLeftCell="A19" workbookViewId="0">
      <selection activeCell="E20" sqref="E20"/>
    </sheetView>
  </sheetViews>
  <sheetFormatPr defaultRowHeight="12.75" x14ac:dyDescent="0.2"/>
  <cols>
    <col min="1" max="2" width="9.140625" style="288"/>
    <col min="3" max="3" width="33.28515625" style="288" bestFit="1" customWidth="1"/>
    <col min="4" max="4" width="11.85546875" style="288" customWidth="1"/>
    <col min="5" max="5" width="12.5703125" style="288" customWidth="1"/>
    <col min="6" max="6" width="15.140625" style="288" customWidth="1"/>
    <col min="7" max="7" width="11.28515625" style="288" customWidth="1"/>
    <col min="8" max="8" width="11.85546875" style="288" customWidth="1"/>
    <col min="9" max="9" width="12.28515625" style="288" customWidth="1"/>
    <col min="10" max="10" width="11.85546875" style="288" customWidth="1"/>
    <col min="11" max="11" width="12.5703125" style="288" customWidth="1"/>
    <col min="12" max="12" width="11.5703125" style="288" customWidth="1"/>
    <col min="13" max="16384" width="9.140625" style="288"/>
  </cols>
  <sheetData>
    <row r="4" spans="3:14" ht="13.5" thickBot="1" x14ac:dyDescent="0.25">
      <c r="C4" s="383" t="s">
        <v>591</v>
      </c>
    </row>
    <row r="5" spans="3:14" ht="12.75" customHeight="1" x14ac:dyDescent="0.2">
      <c r="C5" s="764" t="s">
        <v>508</v>
      </c>
      <c r="D5" s="755" t="s">
        <v>509</v>
      </c>
      <c r="E5" s="756"/>
      <c r="F5" s="757"/>
      <c r="G5" s="758" t="s">
        <v>510</v>
      </c>
      <c r="H5" s="759"/>
      <c r="I5" s="760"/>
      <c r="J5" s="761" t="s">
        <v>195</v>
      </c>
      <c r="K5" s="762"/>
      <c r="L5" s="763"/>
    </row>
    <row r="6" spans="3:14" ht="38.25" x14ac:dyDescent="0.2">
      <c r="C6" s="765"/>
      <c r="D6" s="429" t="s">
        <v>511</v>
      </c>
      <c r="E6" s="290" t="s">
        <v>512</v>
      </c>
      <c r="F6" s="433" t="s">
        <v>513</v>
      </c>
      <c r="G6" s="426" t="s">
        <v>511</v>
      </c>
      <c r="H6" s="427" t="s">
        <v>512</v>
      </c>
      <c r="I6" s="428" t="s">
        <v>513</v>
      </c>
      <c r="J6" s="430" t="s">
        <v>511</v>
      </c>
      <c r="K6" s="431" t="s">
        <v>512</v>
      </c>
      <c r="L6" s="432" t="s">
        <v>513</v>
      </c>
    </row>
    <row r="7" spans="3:14" x14ac:dyDescent="0.2">
      <c r="C7" s="289" t="s">
        <v>514</v>
      </c>
      <c r="D7" s="291">
        <f>'МХЕ до 1MW'!B28</f>
        <v>10</v>
      </c>
      <c r="E7" s="393">
        <f>'МХЕ до 1MW'!F17+'МХЕ до 1MW'!F27</f>
        <v>4.6689999999999996</v>
      </c>
      <c r="F7" s="394">
        <f>'МХЕ до 1MW'!G17+'МХЕ до 1MW'!G26</f>
        <v>18.123699999999999</v>
      </c>
      <c r="G7" s="292">
        <f>'МХЕ до 1MW'!B51</f>
        <v>10</v>
      </c>
      <c r="H7" s="393">
        <f>'МХЕ до 1MW'!F51</f>
        <v>5.1539999999999999</v>
      </c>
      <c r="I7" s="393">
        <f>'МХЕ до 1MW'!G51</f>
        <v>23.435299999999998</v>
      </c>
      <c r="J7" s="291">
        <f>D7+G7</f>
        <v>20</v>
      </c>
      <c r="K7" s="393">
        <f t="shared" ref="K7:L16" si="0">E7+H7</f>
        <v>9.8230000000000004</v>
      </c>
      <c r="L7" s="394">
        <f t="shared" si="0"/>
        <v>41.558999999999997</v>
      </c>
    </row>
    <row r="8" spans="3:14" x14ac:dyDescent="0.2">
      <c r="C8" s="289" t="s">
        <v>515</v>
      </c>
      <c r="D8" s="293">
        <f>'МХЕ 1-10 MW'!A19</f>
        <v>9</v>
      </c>
      <c r="E8" s="393">
        <f>'МХЕ 1-10 MW'!E19</f>
        <v>37.669200000000004</v>
      </c>
      <c r="F8" s="394">
        <f>'МХЕ 1-10 MW'!F19</f>
        <v>140.80533499999999</v>
      </c>
      <c r="G8" s="293">
        <f>'МХЕ 1-10 MW'!A34</f>
        <v>5</v>
      </c>
      <c r="H8" s="393">
        <f>'МХЕ 1-10 MW'!E34</f>
        <v>34.020000000000003</v>
      </c>
      <c r="I8" s="403">
        <f>'МХЕ 1-10 MW'!F34</f>
        <v>141.84193200000001</v>
      </c>
      <c r="J8" s="291">
        <f t="shared" ref="J8:J16" si="1">D8+G8</f>
        <v>14</v>
      </c>
      <c r="K8" s="393">
        <f t="shared" si="0"/>
        <v>71.6892</v>
      </c>
      <c r="L8" s="394">
        <f t="shared" si="0"/>
        <v>282.647267</v>
      </c>
    </row>
    <row r="9" spans="3:14" x14ac:dyDescent="0.2">
      <c r="C9" s="294" t="s">
        <v>516</v>
      </c>
      <c r="D9" s="295">
        <f>'[1]Производња ОИЕ'!A23</f>
        <v>17</v>
      </c>
      <c r="E9" s="395">
        <f>E7+E8</f>
        <v>42.338200000000001</v>
      </c>
      <c r="F9" s="396">
        <f>'[1]Производња ОИЕ'!F23</f>
        <v>161.841396</v>
      </c>
      <c r="G9" s="295">
        <f t="shared" ref="G9" si="2">SUM(G7:G8)</f>
        <v>15</v>
      </c>
      <c r="H9" s="395">
        <f>'[1]Прелиминарна права'!E68</f>
        <v>38.909999999999997</v>
      </c>
      <c r="I9" s="404">
        <f>'[1]Прелиминарна права'!F68</f>
        <v>168.33533200000002</v>
      </c>
      <c r="J9" s="296">
        <f t="shared" si="1"/>
        <v>32</v>
      </c>
      <c r="K9" s="395">
        <f t="shared" si="0"/>
        <v>81.248199999999997</v>
      </c>
      <c r="L9" s="396">
        <f t="shared" si="0"/>
        <v>330.17672800000003</v>
      </c>
    </row>
    <row r="10" spans="3:14" x14ac:dyDescent="0.2">
      <c r="C10" s="289" t="s">
        <v>517</v>
      </c>
      <c r="D10" s="293">
        <v>42</v>
      </c>
      <c r="E10" s="393">
        <f>'СЕ до 250kW'!I49/1000</f>
        <v>0</v>
      </c>
      <c r="F10" s="394">
        <f>'СЕ до 250kW'!J48/1000000</f>
        <v>0</v>
      </c>
      <c r="G10" s="293">
        <f>'СЕ до 250kW'!C69</f>
        <v>6</v>
      </c>
      <c r="H10" s="393">
        <f>'СЕ до 250kW'!I69/1000</f>
        <v>0</v>
      </c>
      <c r="I10" s="403">
        <f>'СЕ до 250kW'!J69/1000000</f>
        <v>0</v>
      </c>
      <c r="J10" s="291">
        <f t="shared" si="1"/>
        <v>48</v>
      </c>
      <c r="K10" s="393">
        <f t="shared" si="0"/>
        <v>0</v>
      </c>
      <c r="L10" s="394">
        <f t="shared" si="0"/>
        <v>0</v>
      </c>
    </row>
    <row r="11" spans="3:14" x14ac:dyDescent="0.2">
      <c r="C11" s="289" t="s">
        <v>518</v>
      </c>
      <c r="D11" s="293">
        <v>0</v>
      </c>
      <c r="E11" s="393">
        <v>0</v>
      </c>
      <c r="F11" s="394">
        <v>0</v>
      </c>
      <c r="G11" s="293">
        <f>'СЕ преко 250 kW'!B19</f>
        <v>3</v>
      </c>
      <c r="H11" s="393">
        <f>('СЕ преко 250 kW'!E19)/1000</f>
        <v>1.5844</v>
      </c>
      <c r="I11" s="403">
        <f>('СЕ преко 250 kW'!F19:F19)/1000000</f>
        <v>1.7094450000000001</v>
      </c>
      <c r="J11" s="291">
        <f t="shared" si="1"/>
        <v>3</v>
      </c>
      <c r="K11" s="393">
        <f t="shared" si="0"/>
        <v>1.5844</v>
      </c>
      <c r="L11" s="394">
        <f t="shared" si="0"/>
        <v>1.7094450000000001</v>
      </c>
    </row>
    <row r="12" spans="3:14" x14ac:dyDescent="0.2">
      <c r="C12" s="297" t="s">
        <v>519</v>
      </c>
      <c r="D12" s="298">
        <f>SUM(D10:D11)</f>
        <v>42</v>
      </c>
      <c r="E12" s="397">
        <f>SUM(E10:E11)</f>
        <v>0</v>
      </c>
      <c r="F12" s="398">
        <f t="shared" ref="F12:G12" si="3">SUM(F10:F11)</f>
        <v>0</v>
      </c>
      <c r="G12" s="298">
        <f t="shared" si="3"/>
        <v>9</v>
      </c>
      <c r="H12" s="397">
        <f>'[1]Прелиминарна права'!E69</f>
        <v>2.3073399999999999</v>
      </c>
      <c r="I12" s="405">
        <f>'[1]Прелиминарна права'!F69</f>
        <v>2.6750340000000001</v>
      </c>
      <c r="J12" s="299">
        <f t="shared" si="1"/>
        <v>51</v>
      </c>
      <c r="K12" s="408">
        <f t="shared" si="0"/>
        <v>2.3073399999999999</v>
      </c>
      <c r="L12" s="409">
        <f t="shared" si="0"/>
        <v>2.6750340000000001</v>
      </c>
      <c r="N12" s="766"/>
    </row>
    <row r="13" spans="3:14" x14ac:dyDescent="0.2">
      <c r="C13" s="289" t="s">
        <v>520</v>
      </c>
      <c r="D13" s="293">
        <v>1</v>
      </c>
      <c r="E13" s="393">
        <f>'[1]Производња ОИЕ'!B76</f>
        <v>0.24</v>
      </c>
      <c r="F13" s="394">
        <f>'[1]Производња ОИЕ'!F76</f>
        <v>1.96</v>
      </c>
      <c r="G13" s="293">
        <v>0</v>
      </c>
      <c r="H13" s="393">
        <v>0</v>
      </c>
      <c r="I13" s="403">
        <v>0</v>
      </c>
      <c r="J13" s="291">
        <f t="shared" si="1"/>
        <v>1</v>
      </c>
      <c r="K13" s="393">
        <f t="shared" si="0"/>
        <v>0.24</v>
      </c>
      <c r="L13" s="394">
        <f t="shared" si="0"/>
        <v>1.96</v>
      </c>
    </row>
    <row r="14" spans="3:14" x14ac:dyDescent="0.2">
      <c r="C14" s="289" t="s">
        <v>521</v>
      </c>
      <c r="D14" s="293">
        <v>1</v>
      </c>
      <c r="E14" s="393">
        <f>[2]Biomasa_Biogas!F8</f>
        <v>0.98899999999999999</v>
      </c>
      <c r="F14" s="394">
        <f>'[1]Производња ОИЕ'!F74+'[1]Производња ОИЕ'!F75</f>
        <v>8.274799999999999</v>
      </c>
      <c r="G14" s="293">
        <v>0</v>
      </c>
      <c r="H14" s="393">
        <v>0</v>
      </c>
      <c r="I14" s="403">
        <v>0</v>
      </c>
      <c r="J14" s="291">
        <f t="shared" si="1"/>
        <v>1</v>
      </c>
      <c r="K14" s="393">
        <f t="shared" si="0"/>
        <v>0.98899999999999999</v>
      </c>
      <c r="L14" s="394">
        <f t="shared" si="0"/>
        <v>8.274799999999999</v>
      </c>
    </row>
    <row r="15" spans="3:14" x14ac:dyDescent="0.2">
      <c r="C15" s="300" t="s">
        <v>522</v>
      </c>
      <c r="D15" s="301">
        <v>2</v>
      </c>
      <c r="E15" s="399">
        <f>SUM(E13:E14)</f>
        <v>1.2290000000000001</v>
      </c>
      <c r="F15" s="400">
        <f t="shared" ref="F15:I15" si="4">SUM(F13:F14)</f>
        <v>10.2348</v>
      </c>
      <c r="G15" s="301">
        <f t="shared" si="4"/>
        <v>0</v>
      </c>
      <c r="H15" s="399">
        <f t="shared" si="4"/>
        <v>0</v>
      </c>
      <c r="I15" s="406">
        <f t="shared" si="4"/>
        <v>0</v>
      </c>
      <c r="J15" s="302">
        <f t="shared" si="1"/>
        <v>2</v>
      </c>
      <c r="K15" s="399">
        <f t="shared" si="0"/>
        <v>1.2290000000000001</v>
      </c>
      <c r="L15" s="400">
        <f t="shared" si="0"/>
        <v>10.2348</v>
      </c>
    </row>
    <row r="16" spans="3:14" ht="13.5" thickBot="1" x14ac:dyDescent="0.25">
      <c r="C16" s="303" t="s">
        <v>195</v>
      </c>
      <c r="D16" s="304">
        <f>D9+D12+D15</f>
        <v>61</v>
      </c>
      <c r="E16" s="401">
        <f t="shared" ref="E16:I16" si="5">E9+E12+E15</f>
        <v>43.5672</v>
      </c>
      <c r="F16" s="402">
        <f t="shared" si="5"/>
        <v>172.07619600000001</v>
      </c>
      <c r="G16" s="304">
        <f t="shared" si="5"/>
        <v>24</v>
      </c>
      <c r="H16" s="401">
        <f t="shared" si="5"/>
        <v>41.217339999999993</v>
      </c>
      <c r="I16" s="407">
        <f t="shared" si="5"/>
        <v>171.01036600000003</v>
      </c>
      <c r="J16" s="305">
        <f t="shared" si="1"/>
        <v>85</v>
      </c>
      <c r="K16" s="401">
        <f t="shared" si="0"/>
        <v>84.784539999999993</v>
      </c>
      <c r="L16" s="402">
        <f t="shared" si="0"/>
        <v>343.08656200000007</v>
      </c>
    </row>
    <row r="17" spans="4:9" x14ac:dyDescent="0.2">
      <c r="E17" s="306"/>
      <c r="H17" s="307"/>
      <c r="I17" s="307"/>
    </row>
    <row r="19" spans="4:9" x14ac:dyDescent="0.2">
      <c r="E19" s="307"/>
      <c r="G19" s="307"/>
    </row>
    <row r="21" spans="4:9" x14ac:dyDescent="0.2">
      <c r="D21" s="308"/>
    </row>
    <row r="22" spans="4:9" x14ac:dyDescent="0.2">
      <c r="D22" s="307"/>
    </row>
    <row r="23" spans="4:9" x14ac:dyDescent="0.2">
      <c r="D23" s="307"/>
    </row>
  </sheetData>
  <mergeCells count="4">
    <mergeCell ref="D5:F5"/>
    <mergeCell ref="G5:I5"/>
    <mergeCell ref="J5:L5"/>
    <mergeCell ref="C5:C6"/>
  </mergeCells>
  <pageMargins left="0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МХЕ до 1MW</vt:lpstr>
      <vt:lpstr>МХЕ 1-10 MW</vt:lpstr>
      <vt:lpstr>СЕ до 250kW</vt:lpstr>
      <vt:lpstr>СЕ преко 250 kW</vt:lpstr>
      <vt:lpstr>Биомаса биогас</vt:lpstr>
      <vt:lpstr>когенерација</vt:lpstr>
      <vt:lpstr>Укупно</vt:lpstr>
      <vt:lpstr>'МХЕ 1-10 MW'!Print_Area</vt:lpstr>
      <vt:lpstr>'МХЕ до 1MW'!Print_Area</vt:lpstr>
      <vt:lpstr>'СЕ до 250kW'!Print_Area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Izolda_k</dc:creator>
  <cp:lastModifiedBy>Izolda_k</cp:lastModifiedBy>
  <cp:lastPrinted>2017-09-21T12:31:22Z</cp:lastPrinted>
  <dcterms:created xsi:type="dcterms:W3CDTF">2016-03-31T13:41:07Z</dcterms:created>
  <dcterms:modified xsi:type="dcterms:W3CDTF">2017-09-25T11:04:05Z</dcterms:modified>
</cp:coreProperties>
</file>